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540" tabRatio="716" firstSheet="1" activeTab="1"/>
  </bookViews>
  <sheets>
    <sheet name="Объм в контейнере" sheetId="1" state="hidden" r:id="rId1"/>
    <sheet name="Бланк-заказ" sheetId="2" r:id="rId2"/>
  </sheets>
  <definedNames>
    <definedName name="Z_D53AAEA0_7634_4605_9B54_2796627D3CC8_.wvu.Cols" localSheetId="1" hidden="1">'Бланк-заказ'!$L:$L</definedName>
    <definedName name="Z_D53AAEA0_7634_4605_9B54_2796627D3CC8_.wvu.PrintArea" localSheetId="1" hidden="1">'Бланк-заказ'!$A$1:$J$69</definedName>
    <definedName name="ВИНО">'Бланк-заказ'!$J$9</definedName>
    <definedName name="ВОДКА">'Бланк-заказ'!$J$10</definedName>
    <definedName name="КОНЬЯК">'Бланк-заказ'!$J$11</definedName>
    <definedName name="_xlnm.Print_Area" localSheetId="1">'Бланк-заказ'!$A$1:$J$395</definedName>
    <definedName name="ШАМПАНСКОЕ">'Бланк-заказ'!$J$12</definedName>
  </definedNames>
  <calcPr fullCalcOnLoad="1"/>
</workbook>
</file>

<file path=xl/sharedStrings.xml><?xml version="1.0" encoding="utf-8"?>
<sst xmlns="http://schemas.openxmlformats.org/spreadsheetml/2006/main" count="820" uniqueCount="351">
  <si>
    <t>- ввод значений</t>
  </si>
  <si>
    <t>- константы</t>
  </si>
  <si>
    <t>- формулы вычислений</t>
  </si>
  <si>
    <t>ЁМК.                       (Л)</t>
  </si>
  <si>
    <t>ЗАКАЗ          ЕД.</t>
  </si>
  <si>
    <t>ЗАКАЗ                                КОР.</t>
  </si>
  <si>
    <t>ЕД.                в            КОР.</t>
  </si>
  <si>
    <t>20т контейнер (дл х шир х выс)</t>
  </si>
  <si>
    <t>24т контейнер (дл х шир х выс)</t>
  </si>
  <si>
    <t>40т контейнер (дл х шир х выс)</t>
  </si>
  <si>
    <t>5867 х 2330 х 2197</t>
  </si>
  <si>
    <t>5867 х 2330 х 2350</t>
  </si>
  <si>
    <t>11988 х 2330 х 2197</t>
  </si>
  <si>
    <r>
      <t xml:space="preserve">ВЕС КОР.                           БРУТТО               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                         (КГ)</t>
    </r>
  </si>
  <si>
    <r>
      <t xml:space="preserve">ОБЪЁМ                 в КОР.                                             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                  (Л)</t>
    </r>
  </si>
  <si>
    <r>
      <t xml:space="preserve">ОБЩИЙ ВЕС                      БРУТТО                </t>
    </r>
    <r>
      <rPr>
        <sz val="8"/>
        <rFont val="Arial Cyr"/>
        <family val="2"/>
      </rPr>
      <t xml:space="preserve">                                    </t>
    </r>
    <r>
      <rPr>
        <b/>
        <sz val="8"/>
        <rFont val="Arial Cyr"/>
        <family val="2"/>
      </rPr>
      <t xml:space="preserve">                         (КГ)</t>
    </r>
  </si>
  <si>
    <t>ОБЪЁМ КОР.                               (М. КУБ.)</t>
  </si>
  <si>
    <r>
      <t xml:space="preserve">ОБЩИЙ                      ОБЪЁМ КОР.              </t>
    </r>
    <r>
      <rPr>
        <sz val="8"/>
        <rFont val="Arial Cyr"/>
        <family val="2"/>
      </rPr>
      <t xml:space="preserve">  </t>
    </r>
    <r>
      <rPr>
        <b/>
        <sz val="8"/>
        <rFont val="Arial Cyr"/>
        <family val="2"/>
      </rPr>
      <t xml:space="preserve">                   (М. КУБ.)</t>
    </r>
  </si>
  <si>
    <t>5т контейнер (дл х шир х выс)</t>
  </si>
  <si>
    <t>3т контейнер (дл х шир х выс)</t>
  </si>
  <si>
    <t>2504х2050х2128</t>
  </si>
  <si>
    <t>1988х1225х2128</t>
  </si>
  <si>
    <t>ш х в х г</t>
  </si>
  <si>
    <t>ЕД.            На         ПАЛ.</t>
  </si>
  <si>
    <t>Вино</t>
  </si>
  <si>
    <t>Вермут</t>
  </si>
  <si>
    <t>Водка</t>
  </si>
  <si>
    <t>Корнет</t>
  </si>
  <si>
    <r>
      <t>ОБЩИЙ ОБЪЁМ                 ВИНА</t>
    </r>
    <r>
      <rPr>
        <sz val="8"/>
        <rFont val="Arial Cyr"/>
        <family val="2"/>
      </rPr>
      <t xml:space="preserve">   </t>
    </r>
    <r>
      <rPr>
        <b/>
        <sz val="8"/>
        <rFont val="Arial Cyr"/>
        <family val="2"/>
      </rPr>
      <t>(ДАЛ)</t>
    </r>
  </si>
  <si>
    <t>Богатырь</t>
  </si>
  <si>
    <t>Наименование</t>
  </si>
  <si>
    <t>Заказ в кор</t>
  </si>
  <si>
    <t>Упаковка (бут)</t>
  </si>
  <si>
    <t>Ёмк.(л)</t>
  </si>
  <si>
    <t>Цена со скидкой</t>
  </si>
  <si>
    <t>Кол-во бут</t>
  </si>
  <si>
    <t>Тоннаж</t>
  </si>
  <si>
    <t>Сумма</t>
  </si>
  <si>
    <t>Далл.</t>
  </si>
  <si>
    <t>«Арбатское Премиум» п/сладкое, красное, натуральное</t>
  </si>
  <si>
    <t>«Арбатское Премиум» п/сладкое, белое, натуральное</t>
  </si>
  <si>
    <t>Специальные десертные вина.</t>
  </si>
  <si>
    <t>Напитки винные.</t>
  </si>
  <si>
    <t>«Богатырь»</t>
  </si>
  <si>
    <t>Коньяк «Кутузов»</t>
  </si>
  <si>
    <t>Коньяк «Кутузов КВВК»</t>
  </si>
  <si>
    <t>Коньяк «Кутузов КС»</t>
  </si>
  <si>
    <t>Коньяк «Кутузов ОС»</t>
  </si>
  <si>
    <t>Водка «Арбатская»</t>
  </si>
  <si>
    <t>Водка «Арбатская» (гуала)</t>
  </si>
  <si>
    <t>Водка «Арбатская» (фляжка)</t>
  </si>
  <si>
    <t xml:space="preserve">Водка «Арбатская» </t>
  </si>
  <si>
    <t>Водка «Арбатская люкс» (гуала)</t>
  </si>
  <si>
    <t>Водка «Арбатская Элитная» (гуала)</t>
  </si>
  <si>
    <t>Водка «Арбатская Элитная»</t>
  </si>
  <si>
    <t>Шампанские и игристые вина  (пробка п/эт.)</t>
  </si>
  <si>
    <t xml:space="preserve">Российское шампанское «Надежда», п/сладкое </t>
  </si>
  <si>
    <t>Вино «Российское игристое Корнет» белое, п/сл.</t>
  </si>
  <si>
    <t>Вино «Российское игристое Корнет» белое, п/сух.</t>
  </si>
  <si>
    <t>Вино «Российское игристое Корнет» белое, сухое</t>
  </si>
  <si>
    <t>Специальные шампанские и игристые вина  (пробка корка)</t>
  </si>
  <si>
    <t>Российское шампанское «Надежда элитное», п/сл.</t>
  </si>
  <si>
    <t>Шампанские класса «Премиум» (пробка корка)</t>
  </si>
  <si>
    <t>Сувенирные наборы (пробка корка)</t>
  </si>
  <si>
    <t>Российское шампанское «Серебряное», сладкое в сувенирном наборе с 2-мя бокалами</t>
  </si>
  <si>
    <t>Далл</t>
  </si>
  <si>
    <t>минус 4 куб.м на щели межбу кор.</t>
  </si>
  <si>
    <t>минус 7 куб.м на щели межбу кор.</t>
  </si>
  <si>
    <t>5т контейнер на полу 40-45 коробок (1 поддон), загрузить можно всего 4,5 поддона - 180коробок</t>
  </si>
  <si>
    <t>30,6 куб. м</t>
  </si>
  <si>
    <t>32,7 куб. м</t>
  </si>
  <si>
    <t>62,4 куб. м</t>
  </si>
  <si>
    <t>10,4 куб. м</t>
  </si>
  <si>
    <t>5,16 куб. м</t>
  </si>
  <si>
    <t>Куб. м</t>
  </si>
  <si>
    <t>Таблица расчетов объема загруженности контейнеров</t>
  </si>
  <si>
    <t xml:space="preserve">ВНИМАНИЕ: </t>
  </si>
  <si>
    <t>В зимний период 1-о слойное утепление отнимает -2 куб. м</t>
  </si>
  <si>
    <t>Коньяк «Арбатский КС»</t>
  </si>
  <si>
    <t>Коньяк «Арбатский ОС»</t>
  </si>
  <si>
    <t>Коньяк «Арбатский» (выдержка 3 года) New</t>
  </si>
  <si>
    <t xml:space="preserve">Коньяк «Арбатский» (выдержка 5 лет) New </t>
  </si>
  <si>
    <t>Коньяк «Арбатский» (выдержка 5 лет) New</t>
  </si>
  <si>
    <t>Водка «Арбатская Элитная» (гуала) в тубе</t>
  </si>
  <si>
    <t>Лазарка Каберне</t>
  </si>
  <si>
    <t>Лазарка Мерло</t>
  </si>
  <si>
    <t>Лазарка Мускат</t>
  </si>
  <si>
    <t>Лазарка Кадарка</t>
  </si>
  <si>
    <t>Коньяк Carte Blanche</t>
  </si>
  <si>
    <t>Коньяк XO Grande Champagne</t>
  </si>
  <si>
    <t>Коньяк L’epiphanie Hord’s Age</t>
  </si>
  <si>
    <t>Коньяк Hord’s Age</t>
  </si>
  <si>
    <t>Коньяк ARCANA</t>
  </si>
  <si>
    <t>Вина ароматизированные</t>
  </si>
  <si>
    <t>Бутылок</t>
  </si>
  <si>
    <t>Российское шампанское «Надежда», п/сух.</t>
  </si>
  <si>
    <t>Российское шампанское «Надежда», брют</t>
  </si>
  <si>
    <t>«Prima Nota Шардоне» п/сл.белое натуральное</t>
  </si>
  <si>
    <t>Вино игристое  «Свадебное» белое, брют</t>
  </si>
  <si>
    <t>Кг</t>
  </si>
  <si>
    <t>ЗАЯВКА НА ОТГРУЗКУ ПРОДУКЦИИ</t>
  </si>
  <si>
    <t xml:space="preserve">                                                        СКИДКА</t>
  </si>
  <si>
    <t>ТОРГОВАЯ МАРКА "ИСПОВЕДЬ ГРЕШНИЦЫ"</t>
  </si>
  <si>
    <t>ТОРГОВАЯ МАРКА "АРБАТСКОЕ"</t>
  </si>
  <si>
    <t>ТОРГОВАЯ МАРКА "КОРОЛЕВА ВИНОГРАДНИКОВ"</t>
  </si>
  <si>
    <t>«Королева виноградников Мускат» п/сл.бел.</t>
  </si>
  <si>
    <t>«Королева виноградников» п/сл.белое</t>
  </si>
  <si>
    <t>ТОРГОВАЯ МАРКА "Grapelabel"</t>
  </si>
  <si>
    <t>«Grapelabel Мускат» п/сладкое белое</t>
  </si>
  <si>
    <t>«Grapelabel Шардоне» сухое, белое</t>
  </si>
  <si>
    <t>«Grapelabel Алиготе» сухое, белое</t>
  </si>
  <si>
    <t xml:space="preserve">«Prima Nota Совиньон Блан» сухое белое </t>
  </si>
  <si>
    <t xml:space="preserve">«Prima Nota Шардоне» сухое белое </t>
  </si>
  <si>
    <t>«Мускат» специальное</t>
  </si>
  <si>
    <t>«Изабелла» розовое, крепкое</t>
  </si>
  <si>
    <t>Коньяк «Kutuzov spesiale» 4 года</t>
  </si>
  <si>
    <t>Коньяк «Kutuzov spesiale» КВ п/у</t>
  </si>
  <si>
    <t xml:space="preserve">Коньяк «Kutuzov spesiale» КВ </t>
  </si>
  <si>
    <t>Коньяк «Kutuzov spesiale» КВВК п/у</t>
  </si>
  <si>
    <t>Коньяк «Kutuzov spesiale» КВВК</t>
  </si>
  <si>
    <t>Коньяк «Kutuzov spesiale» КС п/у</t>
  </si>
  <si>
    <t>Коньяк «Kutuzov spesiale» ОС п/у</t>
  </si>
  <si>
    <t>Вино игристое  «Свадебное» белое, п/сл.</t>
  </si>
  <si>
    <t>Вино игристое  «Свадебное» белое, п/сух.</t>
  </si>
  <si>
    <t>Вино «Российское игристое Корнет» белое, брют</t>
  </si>
  <si>
    <t>Российское шампанское «Надежда элитное»,п/сухое  (в подарочной упаковке)</t>
  </si>
  <si>
    <t>Российское шампанское «Надежда элитное»,п/сладкое  (в подарочной упаковке)</t>
  </si>
  <si>
    <t xml:space="preserve">Российское шампанское «Надежда элитное»,
п/сладкое ( в туб.)
</t>
  </si>
  <si>
    <t xml:space="preserve">Российское шампанское «Надежда элитное»,
брют ( в подарочной упаковке)
</t>
  </si>
  <si>
    <t>Российское шампанское «Серебряное», п/сладкое                                                    ( в подарочной упаковке)</t>
  </si>
  <si>
    <t>Российское шампанское «Золотое», п/сладкое                                       ( в подарочной упаковке)</t>
  </si>
  <si>
    <t>ОАО "КОРНЕТ"</t>
  </si>
  <si>
    <t>«Северная широта»</t>
  </si>
  <si>
    <t>«Prima Nota Мальбек» п/сл.красное натуральное</t>
  </si>
  <si>
    <t>«Prima Nota Каберне Совиньон» сухое красное</t>
  </si>
  <si>
    <t xml:space="preserve">«Prima Nota Мерло» сухое красное </t>
  </si>
  <si>
    <t>«Королева виноградников Изабелла» п/сл.красное</t>
  </si>
  <si>
    <t>«Королева виноградников» п/сл.красное</t>
  </si>
  <si>
    <t>«Grapelabel Изабелла» п/сладкое красное</t>
  </si>
  <si>
    <t>«Grapelabel Каберне» сухое, красное</t>
  </si>
  <si>
    <t>«Grapelabel Мерло» сухое, красное</t>
  </si>
  <si>
    <t>ФЛАГМАН</t>
  </si>
  <si>
    <t>ФЛАГМАН, в п/у</t>
  </si>
  <si>
    <t>ФЛАГМАН, фл.</t>
  </si>
  <si>
    <t>ФЛАГМАН Силвер Спирит</t>
  </si>
  <si>
    <t>ФЛАГМАН Силвер Спирит, в п/у</t>
  </si>
  <si>
    <t>ФЛАГМАН Силвер Спирит, в п/у + 2 рюмки</t>
  </si>
  <si>
    <t>ФЛАГМАН ВС</t>
  </si>
  <si>
    <t>ФЛАГМАН ВС, в п/у</t>
  </si>
  <si>
    <t>ФЛАГМАН ВС + 4 рюмки</t>
  </si>
  <si>
    <t>ФЛАГМАН ВС, п/у</t>
  </si>
  <si>
    <t>ФЛАГМАН ВС, фл</t>
  </si>
  <si>
    <t>"Калараш" 3года</t>
  </si>
  <si>
    <t>"Калараш" 5 лет</t>
  </si>
  <si>
    <t>"Калараш" 7 лет п/у</t>
  </si>
  <si>
    <t xml:space="preserve">"Магарыч" </t>
  </si>
  <si>
    <t>«Исповедь грешницы» п/сл.красное натуральное</t>
  </si>
  <si>
    <t>«Исповедь грешницы»п/сл.белое натуральное</t>
  </si>
  <si>
    <t>«Арбатское» п/сл., красное, натур. (Bag in Box)</t>
  </si>
  <si>
    <t>«Арбатское» п/сладкое, красное, натуральное</t>
  </si>
  <si>
    <t>«Арбатское» п/сладкое, розовое, натуральное</t>
  </si>
  <si>
    <t>«Арбатское» п/сл., белое, натур. (Bag in Box)</t>
  </si>
  <si>
    <t>«Арбатское» п/сладкое, белое, натуральное</t>
  </si>
  <si>
    <t>«Свадебное» п/сухое, красное,натуральное</t>
  </si>
  <si>
    <t>«Свадебное» п/сухое, белое, натуральное</t>
  </si>
  <si>
    <t xml:space="preserve">«Арбатское» сухое, красное, натуральное (шелкография)  </t>
  </si>
  <si>
    <t xml:space="preserve">«Арбатское» сухое, белое, натуральное (шелкография)  </t>
  </si>
  <si>
    <t>«Кагор ВК» десертное, красное, специальное</t>
  </si>
  <si>
    <t>«Вермут красный», п/сладкий</t>
  </si>
  <si>
    <t>«Вермут белый», п/сладкий</t>
  </si>
  <si>
    <t>«Вермут красный», сладкий</t>
  </si>
  <si>
    <t>«Вермут белый», сладкий</t>
  </si>
  <si>
    <t>«Вермут белый», экстра сухой</t>
  </si>
  <si>
    <t>Коньяк «Кутузов» (пробка камю)</t>
  </si>
  <si>
    <t>Коньяк «Кутузов КВ» (пробка камю)</t>
  </si>
  <si>
    <t>Бастион 3 года</t>
  </si>
  <si>
    <t>Бастион 4 года, фл.</t>
  </si>
  <si>
    <t>Бастион 4 года</t>
  </si>
  <si>
    <t>Бастион 4 года, п/у</t>
  </si>
  <si>
    <t>Бастион 5 лет</t>
  </si>
  <si>
    <t>Бастион 5 лет, п/у</t>
  </si>
  <si>
    <t>Бастион КВ</t>
  </si>
  <si>
    <t>Бастион КВ, п/у</t>
  </si>
  <si>
    <t>Бастион КВВК</t>
  </si>
  <si>
    <t>Бастион КВВК, п/у</t>
  </si>
  <si>
    <t>Бастион КС</t>
  </si>
  <si>
    <t>ВИНО</t>
  </si>
  <si>
    <t>ВИНО    серия Боспор</t>
  </si>
  <si>
    <t>Вино белое сухое</t>
  </si>
  <si>
    <t>ВИНО серия "Изумрудная Лоза"</t>
  </si>
  <si>
    <t>ВОДКА</t>
  </si>
  <si>
    <t xml:space="preserve">КОНЬЯК </t>
  </si>
  <si>
    <t>ШАМПАНСКОЕ</t>
  </si>
  <si>
    <t>серия "Дедушкин Погребок"</t>
  </si>
  <si>
    <t>серия "Лазурная Долина"</t>
  </si>
  <si>
    <t>серия "Южное Танго"</t>
  </si>
  <si>
    <t>Bag-in-box 10 л Мильстрим</t>
  </si>
  <si>
    <t>Монашеское ароматизированное красное</t>
  </si>
  <si>
    <t>Bag-in-box 20 л Мильстрим</t>
  </si>
  <si>
    <t>ШАМПАНСКОЕ МИЛЬСТРИМ</t>
  </si>
  <si>
    <t>Шампанское "Южнороссийское"</t>
  </si>
  <si>
    <t>Всего к оплате без скидки</t>
  </si>
  <si>
    <t xml:space="preserve"> "Мильстрим - Черноморские вина"</t>
  </si>
  <si>
    <t xml:space="preserve">Клиент (шифр и наименование): </t>
  </si>
  <si>
    <r>
      <t>Коньяк «</t>
    </r>
    <r>
      <rPr>
        <b/>
        <sz val="12"/>
        <rFont val="Wingdings"/>
        <family val="0"/>
      </rPr>
      <t>«««</t>
    </r>
    <r>
      <rPr>
        <b/>
        <sz val="12"/>
        <rFont val="Arial"/>
        <family val="2"/>
      </rPr>
      <t>» (пробка камю)</t>
    </r>
  </si>
  <si>
    <r>
      <t>Коньяк «</t>
    </r>
    <r>
      <rPr>
        <b/>
        <sz val="12"/>
        <rFont val="Wingdings"/>
        <family val="0"/>
      </rPr>
      <t>«««</t>
    </r>
    <r>
      <rPr>
        <b/>
        <sz val="12"/>
        <rFont val="Arial"/>
        <family val="2"/>
      </rPr>
      <t>» (фляжка)</t>
    </r>
  </si>
  <si>
    <r>
      <t>Коньяк «</t>
    </r>
    <r>
      <rPr>
        <b/>
        <sz val="12"/>
        <rFont val="Wingdings"/>
        <family val="0"/>
      </rPr>
      <t>«««</t>
    </r>
    <r>
      <rPr>
        <b/>
        <sz val="12"/>
        <rFont val="Arial"/>
        <family val="2"/>
      </rPr>
      <t>»</t>
    </r>
  </si>
  <si>
    <r>
      <t>Коньяк «</t>
    </r>
    <r>
      <rPr>
        <b/>
        <sz val="12"/>
        <rFont val="Wingdings"/>
        <family val="0"/>
      </rPr>
      <t>«««««</t>
    </r>
    <r>
      <rPr>
        <b/>
        <sz val="12"/>
        <rFont val="Arial"/>
        <family val="2"/>
      </rPr>
      <t>» (пробка камю)</t>
    </r>
  </si>
  <si>
    <r>
      <t>Коньяк «</t>
    </r>
    <r>
      <rPr>
        <b/>
        <sz val="12"/>
        <rFont val="Wingdings"/>
        <family val="0"/>
      </rPr>
      <t>«««««</t>
    </r>
    <r>
      <rPr>
        <b/>
        <sz val="12"/>
        <rFont val="Arial"/>
        <family val="2"/>
      </rPr>
      <t>»(фляжка)</t>
    </r>
  </si>
  <si>
    <r>
      <t>Коньяк «</t>
    </r>
    <r>
      <rPr>
        <b/>
        <sz val="12"/>
        <rFont val="Wingdings"/>
        <family val="0"/>
      </rPr>
      <t>«««««</t>
    </r>
    <r>
      <rPr>
        <b/>
        <sz val="12"/>
        <rFont val="Arial"/>
        <family val="2"/>
      </rPr>
      <t>»</t>
    </r>
  </si>
  <si>
    <r>
      <t>Каберне</t>
    </r>
    <r>
      <rPr>
        <sz val="12"/>
        <rFont val="Arial"/>
        <family val="2"/>
      </rPr>
      <t>, красное сухое</t>
    </r>
  </si>
  <si>
    <r>
      <t>Мерло,</t>
    </r>
    <r>
      <rPr>
        <sz val="12"/>
        <rFont val="Arial"/>
        <family val="2"/>
      </rPr>
      <t xml:space="preserve"> красное сухое </t>
    </r>
  </si>
  <si>
    <r>
      <t>Шардоне</t>
    </r>
    <r>
      <rPr>
        <sz val="12"/>
        <rFont val="Arial"/>
        <family val="2"/>
      </rPr>
      <t xml:space="preserve">, белое сухое </t>
    </r>
  </si>
  <si>
    <r>
      <t xml:space="preserve">Изабелла, </t>
    </r>
    <r>
      <rPr>
        <sz val="12"/>
        <rFont val="Arial"/>
        <family val="2"/>
      </rPr>
      <t>красное полусладкое, сах. 30-40 г/л</t>
    </r>
  </si>
  <si>
    <r>
      <t xml:space="preserve">Каберне, </t>
    </r>
    <r>
      <rPr>
        <sz val="12"/>
        <rFont val="Arial"/>
        <family val="2"/>
      </rPr>
      <t>красное полусладкое, сах. 30-40 г/л</t>
    </r>
  </si>
  <si>
    <r>
      <t xml:space="preserve">Совиньон, </t>
    </r>
    <r>
      <rPr>
        <sz val="12"/>
        <rFont val="Arial"/>
        <family val="2"/>
      </rPr>
      <t>белое полусладкое, сах. 30-40 г/л</t>
    </r>
  </si>
  <si>
    <r>
      <t xml:space="preserve">Лидия, </t>
    </r>
    <r>
      <rPr>
        <sz val="12"/>
        <rFont val="Arial"/>
        <family val="2"/>
      </rPr>
      <t>розовое полусладкое, сах. 30-40 г/л</t>
    </r>
  </si>
  <si>
    <r>
      <t xml:space="preserve">Земфира, </t>
    </r>
    <r>
      <rPr>
        <sz val="12"/>
        <rFont val="Arial"/>
        <family val="2"/>
      </rPr>
      <t>красное полусладкое, сах. 30-40 г/л</t>
    </r>
  </si>
  <si>
    <r>
      <t>Мускат</t>
    </r>
    <r>
      <rPr>
        <sz val="12"/>
        <rFont val="Arial"/>
        <family val="2"/>
      </rPr>
      <t>, белое полудесертное специальное, сах. 120 г/л</t>
    </r>
  </si>
  <si>
    <r>
      <t>Мускат</t>
    </r>
    <r>
      <rPr>
        <sz val="12"/>
        <rFont val="Arial"/>
        <family val="2"/>
      </rPr>
      <t>, розовое полудесертное специальное, сах. 120 г/л</t>
    </r>
  </si>
  <si>
    <r>
      <t xml:space="preserve">Кагор 32, </t>
    </r>
    <r>
      <rPr>
        <sz val="12"/>
        <rFont val="Arial"/>
        <family val="2"/>
      </rPr>
      <t>красное десертное специальное, сах. 160 г/л</t>
    </r>
  </si>
  <si>
    <r>
      <t xml:space="preserve">Мерло, </t>
    </r>
    <r>
      <rPr>
        <sz val="12"/>
        <rFont val="Arial"/>
        <family val="2"/>
      </rPr>
      <t>красное сухое</t>
    </r>
  </si>
  <si>
    <r>
      <t>Совиньон, белое полуслад</t>
    </r>
    <r>
      <rPr>
        <sz val="12"/>
        <rFont val="Arial"/>
        <family val="2"/>
      </rPr>
      <t>кое</t>
    </r>
  </si>
  <si>
    <r>
      <t>Изабелла,</t>
    </r>
    <r>
      <rPr>
        <sz val="12"/>
        <rFont val="Arial"/>
        <family val="2"/>
      </rPr>
      <t xml:space="preserve"> красное полусладкое</t>
    </r>
  </si>
  <si>
    <r>
      <t>Каберне, красное</t>
    </r>
    <r>
      <rPr>
        <sz val="12"/>
        <rFont val="Arial"/>
        <family val="2"/>
      </rPr>
      <t xml:space="preserve"> полусладкое</t>
    </r>
  </si>
  <si>
    <r>
      <t>Изабелла,</t>
    </r>
    <r>
      <rPr>
        <sz val="12"/>
        <rFont val="Arial"/>
        <family val="2"/>
      </rPr>
      <t xml:space="preserve"> красное полусладкое, сах. 30-40 г/л</t>
    </r>
  </si>
  <si>
    <r>
      <t>Вино красное полусладкое,</t>
    </r>
    <r>
      <rPr>
        <sz val="12"/>
        <rFont val="Arial"/>
        <family val="2"/>
      </rPr>
      <t xml:space="preserve"> сах. 30-40 г/л</t>
    </r>
  </si>
  <si>
    <r>
      <t xml:space="preserve">Вино белое полусладкое, </t>
    </r>
    <r>
      <rPr>
        <sz val="12"/>
        <rFont val="Arial"/>
        <family val="2"/>
      </rPr>
      <t>сах. 30-40г/л</t>
    </r>
  </si>
  <si>
    <r>
      <t xml:space="preserve">Мускат </t>
    </r>
    <r>
      <rPr>
        <sz val="12"/>
        <rFont val="Arial"/>
        <family val="2"/>
      </rPr>
      <t>белый полусладкий сах 30-40 г/л</t>
    </r>
  </si>
  <si>
    <r>
      <t xml:space="preserve">Каберне </t>
    </r>
    <r>
      <rPr>
        <sz val="12"/>
        <rFont val="Arial"/>
        <family val="2"/>
      </rPr>
      <t>красн. сух.</t>
    </r>
  </si>
  <si>
    <r>
      <t xml:space="preserve">"ВИШНЕВИЦА" </t>
    </r>
    <r>
      <rPr>
        <sz val="12"/>
        <rFont val="Arial"/>
        <family val="2"/>
      </rPr>
      <t>виноград-фруктовое нат.слад. красн.,сах.70г/л</t>
    </r>
  </si>
  <si>
    <r>
      <t xml:space="preserve">"СЛИВОВИЦА" </t>
    </r>
    <r>
      <rPr>
        <sz val="12"/>
        <rFont val="Arial"/>
        <family val="2"/>
      </rPr>
      <t>виноград-фруктовое нат.слад.белое.,сах.70г/л</t>
    </r>
  </si>
  <si>
    <r>
      <t xml:space="preserve">"БУКЕТ ТАМАНИ" </t>
    </r>
    <r>
      <rPr>
        <sz val="12"/>
        <rFont val="Arial"/>
        <family val="2"/>
      </rPr>
      <t>виноград-фрукт.нат слад. бел.,сах.160г/л</t>
    </r>
  </si>
  <si>
    <r>
      <t xml:space="preserve">Вино "КЛЮКВЕННОЕ" </t>
    </r>
    <r>
      <rPr>
        <sz val="12"/>
        <rFont val="Arial"/>
        <family val="2"/>
      </rPr>
      <t>плодовое натуральное п/слад.,сах 40-50г/л</t>
    </r>
  </si>
  <si>
    <r>
      <t xml:space="preserve">Вино "ВИШНЕВОЕ" </t>
    </r>
    <r>
      <rPr>
        <sz val="12"/>
        <rFont val="Arial"/>
        <family val="2"/>
      </rPr>
      <t>плодовое натуральное п/слад.,сах 40-50г/л</t>
    </r>
  </si>
  <si>
    <r>
      <t xml:space="preserve">Вино "СЛИВОВОЕ" </t>
    </r>
    <r>
      <rPr>
        <sz val="12"/>
        <rFont val="Arial"/>
        <family val="2"/>
      </rPr>
      <t>плодовое натуральное п/слад.,сах 40-50г/л</t>
    </r>
  </si>
  <si>
    <r>
      <t xml:space="preserve">Вино "АБРИКОСОВОЕ" </t>
    </r>
    <r>
      <rPr>
        <sz val="12"/>
        <rFont val="Arial"/>
        <family val="2"/>
      </rPr>
      <t>плодовое натуральное п/слад.,сах 40-50г/л</t>
    </r>
  </si>
  <si>
    <r>
      <t>Каберне-Совиньон</t>
    </r>
    <r>
      <rPr>
        <sz val="12"/>
        <rFont val="Arial"/>
        <family val="2"/>
      </rPr>
      <t xml:space="preserve">, красное сухое </t>
    </r>
  </si>
  <si>
    <r>
      <t>Мерло</t>
    </r>
    <r>
      <rPr>
        <sz val="12"/>
        <rFont val="Arial"/>
        <family val="2"/>
      </rPr>
      <t xml:space="preserve">,  красное сухое </t>
    </r>
  </si>
  <si>
    <r>
      <t>Изабелла</t>
    </r>
    <r>
      <rPr>
        <sz val="12"/>
        <rFont val="Arial"/>
        <family val="2"/>
      </rPr>
      <t xml:space="preserve">, красное сухое </t>
    </r>
  </si>
  <si>
    <r>
      <t xml:space="preserve">Каберне, </t>
    </r>
    <r>
      <rPr>
        <sz val="12"/>
        <rFont val="Arial"/>
        <family val="2"/>
      </rPr>
      <t xml:space="preserve">красное сухое </t>
    </r>
  </si>
  <si>
    <r>
      <t>Каберне</t>
    </r>
    <r>
      <rPr>
        <sz val="12"/>
        <rFont val="Arial"/>
        <family val="2"/>
      </rPr>
      <t xml:space="preserve">, красное сухое </t>
    </r>
  </si>
  <si>
    <r>
      <t>Мерло</t>
    </r>
    <r>
      <rPr>
        <sz val="12"/>
        <rFont val="Arial"/>
        <family val="2"/>
      </rPr>
      <t xml:space="preserve">, красное сухое </t>
    </r>
  </si>
  <si>
    <r>
      <t>Каберне</t>
    </r>
    <r>
      <rPr>
        <sz val="12"/>
        <rFont val="Arial"/>
        <family val="2"/>
      </rPr>
      <t>, красное полусладкое, сах. 30-40 г/л</t>
    </r>
  </si>
  <si>
    <r>
      <t>Изабелла</t>
    </r>
    <r>
      <rPr>
        <sz val="12"/>
        <rFont val="Arial"/>
        <family val="2"/>
      </rPr>
      <t>, красное полусладкое, сах. 30-40 г/л</t>
    </r>
  </si>
  <si>
    <r>
      <t>Пино Фран</t>
    </r>
    <r>
      <rPr>
        <sz val="12"/>
        <rFont val="Arial"/>
        <family val="2"/>
      </rPr>
      <t>, розовое полусладкое, сах. 30-40 г/л</t>
    </r>
  </si>
  <si>
    <r>
      <t>Совиньон</t>
    </r>
    <r>
      <rPr>
        <sz val="12"/>
        <rFont val="Arial"/>
        <family val="2"/>
      </rPr>
      <t>, белое полусладкое, сах. 30-40 г/л</t>
    </r>
  </si>
  <si>
    <r>
      <t xml:space="preserve">Кагор 32 </t>
    </r>
    <r>
      <rPr>
        <sz val="12"/>
        <rFont val="Arial"/>
        <family val="2"/>
      </rPr>
      <t xml:space="preserve">десертный, сах. 160 г/л </t>
    </r>
  </si>
  <si>
    <r>
      <t>Пино Фран,</t>
    </r>
    <r>
      <rPr>
        <sz val="12"/>
        <rFont val="Arial"/>
        <family val="2"/>
      </rPr>
      <t xml:space="preserve"> розовое полусладкое, сах. 30-40 г/л</t>
    </r>
  </si>
  <si>
    <r>
      <t>Мускат</t>
    </r>
    <r>
      <rPr>
        <sz val="12"/>
        <rFont val="Arial"/>
        <family val="2"/>
      </rPr>
      <t>, розовое полусладкое</t>
    </r>
  </si>
  <si>
    <r>
      <t>Мускат</t>
    </r>
    <r>
      <rPr>
        <sz val="12"/>
        <rFont val="Arial"/>
        <family val="2"/>
      </rPr>
      <t>, белое полудесертное</t>
    </r>
  </si>
  <si>
    <r>
      <t>Вино красное полусладкое</t>
    </r>
    <r>
      <rPr>
        <sz val="12"/>
        <rFont val="Arial"/>
        <family val="2"/>
      </rPr>
      <t>, сах. 30-40 г/л</t>
    </r>
  </si>
  <si>
    <r>
      <t>Вино белое полусладкое</t>
    </r>
    <r>
      <rPr>
        <sz val="12"/>
        <rFont val="Arial"/>
        <family val="2"/>
      </rPr>
      <t>, сах. 30-40г/л</t>
    </r>
  </si>
  <si>
    <r>
      <t xml:space="preserve">Каберне, </t>
    </r>
    <r>
      <rPr>
        <sz val="12"/>
        <rFont val="Arial"/>
        <family val="2"/>
      </rPr>
      <t>красное сухое</t>
    </r>
  </si>
  <si>
    <r>
      <t>Земфира</t>
    </r>
    <r>
      <rPr>
        <sz val="12"/>
        <rFont val="Arial"/>
        <family val="2"/>
      </rPr>
      <t>, красное полусладкое, сах. 30-40г/л</t>
    </r>
  </si>
  <si>
    <r>
      <t>Лидия</t>
    </r>
    <r>
      <rPr>
        <sz val="12"/>
        <rFont val="Arial"/>
        <family val="2"/>
      </rPr>
      <t>, розовое полусладкое, сах. 30-40г/л</t>
    </r>
  </si>
  <si>
    <r>
      <t>Мускат</t>
    </r>
    <r>
      <rPr>
        <sz val="12"/>
        <rFont val="Arial"/>
        <family val="2"/>
      </rPr>
      <t>, белое полусладкое, сах. 30-40 г/л</t>
    </r>
  </si>
  <si>
    <r>
      <t xml:space="preserve">Изабелла, </t>
    </r>
    <r>
      <rPr>
        <sz val="12"/>
        <rFont val="Arial"/>
        <family val="2"/>
      </rPr>
      <t xml:space="preserve">красное сухое </t>
    </r>
  </si>
  <si>
    <r>
      <t>Лидия</t>
    </r>
    <r>
      <rPr>
        <sz val="12"/>
        <rFont val="Arial"/>
        <family val="2"/>
      </rPr>
      <t>, розовое полусладкое, сах. 30-40 г/л</t>
    </r>
  </si>
  <si>
    <r>
      <t>Земфира</t>
    </r>
    <r>
      <rPr>
        <sz val="12"/>
        <rFont val="Arial"/>
        <family val="2"/>
      </rPr>
      <t>, красное полусладкое, сах. 30-40 г/л</t>
    </r>
  </si>
  <si>
    <r>
      <t>Кагор 32</t>
    </r>
    <r>
      <rPr>
        <sz val="12"/>
        <rFont val="Arial"/>
        <family val="2"/>
      </rPr>
      <t>, красное десертное специальное, сах. 160 г/л</t>
    </r>
  </si>
  <si>
    <r>
      <t>Мускат</t>
    </r>
    <r>
      <rPr>
        <sz val="12"/>
        <rFont val="Arial"/>
        <family val="2"/>
      </rPr>
      <t>, белое полусладкое</t>
    </r>
  </si>
  <si>
    <t>вина производства ММВЗ</t>
  </si>
  <si>
    <t>ГРУППА ВИНО</t>
  </si>
  <si>
    <t>ПРОЧИЕ ТОРГОВЫЕ МАРКИ</t>
  </si>
  <si>
    <t>ТОРГОВАЯ МАРКА "ЛАЗАРКА"</t>
  </si>
  <si>
    <t>вина производства Мильстрим-Черноморские вина</t>
  </si>
  <si>
    <t>ГРУППА КОНЬЯК</t>
  </si>
  <si>
    <t>коньяки производства ММВЗ</t>
  </si>
  <si>
    <t>коньяки производства СП "Кэлэрашь Дивин" S.A. (Молдова)</t>
  </si>
  <si>
    <t>коньяки производства "Jenssen" (Франция)</t>
  </si>
  <si>
    <t>ТОРГОВАЯ МАРКА "Кутузов"</t>
  </si>
  <si>
    <t>ТОРГОВАЯ МАРКА "Kutuzov spesiale"</t>
  </si>
  <si>
    <t>ТОРГОВАЯ МАРКА "Арбатский"</t>
  </si>
  <si>
    <t>ТОРГОВАЯ МАРКА "Бастион"</t>
  </si>
  <si>
    <t>ГРУППА ВОДКА</t>
  </si>
  <si>
    <t>ВОДКА производства ММВЗ</t>
  </si>
  <si>
    <t>ТОРГОВАЯ МАРКА "Арбатская"</t>
  </si>
  <si>
    <t>ВОДКА производства Нарофоминский ЛВЗ</t>
  </si>
  <si>
    <t>ТОРГОВАЯ МАРКА "Флагман"</t>
  </si>
  <si>
    <t>ГРУППА ШАМПАНСКОЕ</t>
  </si>
  <si>
    <t>Шампанское производства завода "Корнет"</t>
  </si>
  <si>
    <t>ВИНА производства АПК Мильстрим ЧВ</t>
  </si>
  <si>
    <t>Торговая марка «Prima Nota Signature»</t>
  </si>
  <si>
    <t>Вина Франции</t>
  </si>
  <si>
    <t>Вина географического наименования категории VDP</t>
  </si>
  <si>
    <t>"Prima Nota Сигначе Шардоне", сухое, белое</t>
  </si>
  <si>
    <t>"Prima Nota Сигначе Мерло", сухое, красное</t>
  </si>
  <si>
    <t>Вина Италии</t>
  </si>
  <si>
    <t>Вина географического наименования категории DOC</t>
  </si>
  <si>
    <t>"Prima Nota Сигначе Санджовезе ди Романья", сухое, красное</t>
  </si>
  <si>
    <t>"Prima Nota Сигначе Треббиано ди Романья", сухое, белое</t>
  </si>
  <si>
    <t>ТОРГОВАЯ МАРКА "PRIMA NOTA Select"</t>
  </si>
  <si>
    <t>вина Импорт</t>
  </si>
  <si>
    <t>вино</t>
  </si>
  <si>
    <t>коньяк</t>
  </si>
  <si>
    <t>водка</t>
  </si>
  <si>
    <t>шампанское</t>
  </si>
  <si>
    <t>Итого Коробов</t>
  </si>
  <si>
    <t>Всего к оплате с учетом скидки</t>
  </si>
  <si>
    <t>Дал</t>
  </si>
  <si>
    <t>ИТОГО ЗАКАЗ</t>
  </si>
  <si>
    <t>ИТОГО ПО ГРУППАМ</t>
  </si>
  <si>
    <t>Сумарная скидка</t>
  </si>
  <si>
    <t xml:space="preserve">групп </t>
  </si>
  <si>
    <t>КОНЬЯК</t>
  </si>
  <si>
    <t>ВСЕГО Дал</t>
  </si>
  <si>
    <t xml:space="preserve">Дата оформления заказа:                 </t>
  </si>
  <si>
    <t xml:space="preserve">Дата отгрузки: </t>
  </si>
  <si>
    <t xml:space="preserve">Контактный телефон: </t>
  </si>
  <si>
    <t xml:space="preserve"> Контактное лицо/должность: </t>
  </si>
  <si>
    <t xml:space="preserve">Адрес доставки: </t>
  </si>
  <si>
    <t>«Prima Nota Кадарка» п/сл.красное натуральное</t>
  </si>
  <si>
    <t>"Совиньон" сухое, белое</t>
  </si>
  <si>
    <t>Коньяк «Кутузов КС» в кор.</t>
  </si>
  <si>
    <t>Коньяк «Кутузов ОС» в кор.</t>
  </si>
  <si>
    <t>Коньяк «Кутузов ОС» в футляре</t>
  </si>
  <si>
    <t>Коньяк «Арбатский КС» в кор.</t>
  </si>
  <si>
    <t>Коньяк «Арбатский ОС» в кор.</t>
  </si>
  <si>
    <t>Бастион КВ, п/у + 2 бокала</t>
  </si>
  <si>
    <t>Вина Испании</t>
  </si>
  <si>
    <t>Вина географического наименования категории DO</t>
  </si>
  <si>
    <t>"Prima Nota Сигначе Макабео", сухое, белое</t>
  </si>
  <si>
    <t>"Prima Nota Сигначе Темпранильо", сухое, красное</t>
  </si>
  <si>
    <r>
      <t>Мускат</t>
    </r>
    <r>
      <rPr>
        <sz val="12"/>
        <color indexed="10"/>
        <rFont val="Arial"/>
        <family val="2"/>
      </rPr>
      <t>, белое полудесертное специальное, сах. 120 г/л</t>
    </r>
  </si>
  <si>
    <r>
      <t>Мускат</t>
    </r>
    <r>
      <rPr>
        <sz val="12"/>
        <color indexed="10"/>
        <rFont val="Arial"/>
        <family val="2"/>
      </rPr>
      <t>, розовое полудесертное специальное, сах. 120 г/л</t>
    </r>
  </si>
  <si>
    <r>
      <t>Изабелла</t>
    </r>
    <r>
      <rPr>
        <sz val="12"/>
        <color indexed="10"/>
        <rFont val="Arial"/>
        <family val="2"/>
      </rPr>
      <t xml:space="preserve">,  красное сухое </t>
    </r>
  </si>
  <si>
    <r>
      <t>Каберне</t>
    </r>
    <r>
      <rPr>
        <sz val="12"/>
        <color indexed="10"/>
        <rFont val="Arial"/>
        <family val="2"/>
      </rPr>
      <t>, красное сухое</t>
    </r>
  </si>
  <si>
    <r>
      <t xml:space="preserve">Кагор, </t>
    </r>
    <r>
      <rPr>
        <sz val="12"/>
        <color indexed="10"/>
        <rFont val="Arial"/>
        <family val="2"/>
      </rPr>
      <t xml:space="preserve">красное полудесертное </t>
    </r>
  </si>
  <si>
    <r>
      <t xml:space="preserve">Изабелла, </t>
    </r>
    <r>
      <rPr>
        <sz val="12"/>
        <color indexed="10"/>
        <rFont val="Arial"/>
        <family val="2"/>
      </rPr>
      <t xml:space="preserve"> красное сухое</t>
    </r>
  </si>
  <si>
    <r>
      <t>Каберне-Совиньон</t>
    </r>
    <r>
      <rPr>
        <sz val="12"/>
        <color indexed="10"/>
        <rFont val="Arial"/>
        <family val="2"/>
      </rPr>
      <t>, красное сухое</t>
    </r>
  </si>
  <si>
    <r>
      <t>Мускат</t>
    </r>
    <r>
      <rPr>
        <sz val="12"/>
        <color indexed="10"/>
        <rFont val="Arial"/>
        <family val="2"/>
      </rPr>
      <t>, розовое полусладкое, сах. 30-40 г/л</t>
    </r>
  </si>
  <si>
    <r>
      <t>Лидия</t>
    </r>
    <r>
      <rPr>
        <sz val="12"/>
        <color indexed="10"/>
        <rFont val="Arial"/>
        <family val="2"/>
      </rPr>
      <t>, розовое полусладкое, сах. 30-40г/л</t>
    </r>
  </si>
  <si>
    <r>
      <t xml:space="preserve">Кагор  </t>
    </r>
    <r>
      <rPr>
        <sz val="12"/>
        <color indexed="10"/>
        <rFont val="Arial"/>
        <family val="2"/>
      </rPr>
      <t xml:space="preserve">полудесертный, сах. 120 г/л </t>
    </r>
  </si>
  <si>
    <r>
      <t xml:space="preserve">Монашеское </t>
    </r>
    <r>
      <rPr>
        <sz val="12"/>
        <color indexed="10"/>
        <rFont val="Arial"/>
        <family val="2"/>
      </rPr>
      <t>ароматизированное красное</t>
    </r>
  </si>
  <si>
    <r>
      <t xml:space="preserve">Кагор </t>
    </r>
    <r>
      <rPr>
        <sz val="12"/>
        <color indexed="10"/>
        <rFont val="Arial"/>
        <family val="2"/>
      </rPr>
      <t>красное полудесертное</t>
    </r>
  </si>
  <si>
    <r>
      <t>Мускат</t>
    </r>
    <r>
      <rPr>
        <sz val="12"/>
        <color indexed="10"/>
        <rFont val="Arial"/>
        <family val="2"/>
      </rPr>
      <t>, розовое полудесертное, сах. 120г/л</t>
    </r>
  </si>
  <si>
    <r>
      <t>Мускат</t>
    </r>
    <r>
      <rPr>
        <sz val="12"/>
        <color indexed="10"/>
        <rFont val="Arial"/>
        <family val="2"/>
      </rPr>
      <t>, белое полудесертное, сах. 120г/л</t>
    </r>
  </si>
  <si>
    <t>Цена за бут./руб  (от29/09/08)</t>
  </si>
  <si>
    <t>Виноматериалы Аргентины</t>
  </si>
  <si>
    <t>Виноматериалы Венгрии</t>
  </si>
  <si>
    <t>Виноматериалы ЧИЛИ</t>
  </si>
  <si>
    <t>Виноматериалы ФРАНЦИЯ</t>
  </si>
  <si>
    <t>Виноматериалы ИСПАНИЯ</t>
  </si>
  <si>
    <t>«Prima Nota Макабео» сухое белое</t>
  </si>
  <si>
    <t xml:space="preserve">«Prima Nota Темпранильо» сухое белое </t>
  </si>
  <si>
    <t>Менеджер __________________________</t>
  </si>
  <si>
    <t>Согласовано: ________________________</t>
  </si>
  <si>
    <t>Огни Москвы</t>
  </si>
  <si>
    <t>Вино игристое  «Огни Москвы» брют</t>
  </si>
  <si>
    <t>Вино игристое  «Огни Москвы» п/сл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</si>
</sst>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000000"/>
    <numFmt numFmtId="167" formatCode="\ @"/>
  </numFmts>
  <fonts count="79">
    <font>
      <sz val="8"/>
      <name val="Arial Cyr"/>
      <family val="0"/>
    </font>
    <font>
      <sz val="11"/>
      <color indexed="63"/>
      <name val="Calibri"/>
      <family val="2"/>
    </font>
    <font>
      <b/>
      <sz val="8"/>
      <name val="Arial Cyr"/>
      <family val="2"/>
    </font>
    <font>
      <b/>
      <u val="single"/>
      <sz val="8"/>
      <name val="Arial Cyr"/>
      <family val="2"/>
    </font>
    <font>
      <b/>
      <sz val="10"/>
      <name val="Arial Cyr"/>
      <family val="0"/>
    </font>
    <font>
      <b/>
      <sz val="9"/>
      <color indexed="4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 Cyr"/>
      <family val="0"/>
    </font>
    <font>
      <b/>
      <sz val="48"/>
      <color indexed="10"/>
      <name val="Arial Cyr"/>
      <family val="2"/>
    </font>
    <font>
      <b/>
      <sz val="24"/>
      <color indexed="10"/>
      <name val="Arial Cyr"/>
      <family val="2"/>
    </font>
    <font>
      <b/>
      <sz val="18"/>
      <name val="Arial Cyr"/>
      <family val="2"/>
    </font>
    <font>
      <b/>
      <sz val="14"/>
      <color indexed="10"/>
      <name val="Arial Cyr"/>
      <family val="2"/>
    </font>
    <font>
      <b/>
      <i/>
      <sz val="18"/>
      <color indexed="10"/>
      <name val="Arial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b/>
      <i/>
      <sz val="16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 Cyr"/>
      <family val="0"/>
    </font>
    <font>
      <b/>
      <i/>
      <sz val="20"/>
      <color indexed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name val="Wingdings"/>
      <family val="0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i/>
      <sz val="16"/>
      <name val="Arial"/>
      <family val="2"/>
    </font>
    <font>
      <sz val="16"/>
      <name val="Arial Cyr"/>
      <family val="0"/>
    </font>
    <font>
      <b/>
      <i/>
      <sz val="14"/>
      <color indexed="10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14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39"/>
      </left>
      <right/>
      <top style="double">
        <color indexed="39"/>
      </top>
      <bottom/>
    </border>
    <border>
      <left/>
      <right/>
      <top style="double">
        <color indexed="39"/>
      </top>
      <bottom/>
    </border>
    <border>
      <left/>
      <right style="double">
        <color indexed="39"/>
      </right>
      <top style="double">
        <color indexed="39"/>
      </top>
      <bottom/>
    </border>
    <border>
      <left style="double">
        <color indexed="39"/>
      </left>
      <right/>
      <top/>
      <bottom/>
    </border>
    <border>
      <left/>
      <right style="double">
        <color indexed="39"/>
      </right>
      <top/>
      <bottom/>
    </border>
    <border>
      <left style="double">
        <color indexed="39"/>
      </left>
      <right/>
      <top/>
      <bottom style="double">
        <color indexed="39"/>
      </bottom>
    </border>
    <border>
      <left/>
      <right/>
      <top/>
      <bottom style="double">
        <color indexed="39"/>
      </bottom>
    </border>
    <border>
      <left/>
      <right style="double">
        <color indexed="39"/>
      </right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3" borderId="14" xfId="0" applyNumberFormat="1" applyFont="1" applyFill="1" applyBorder="1" applyAlignment="1">
      <alignment horizontal="center" vertical="top" wrapText="1"/>
    </xf>
    <xf numFmtId="165" fontId="2" fillId="34" borderId="0" xfId="0" applyNumberFormat="1" applyFont="1" applyFill="1" applyAlignment="1">
      <alignment horizontal="center"/>
    </xf>
    <xf numFmtId="165" fontId="2" fillId="35" borderId="0" xfId="0" applyNumberFormat="1" applyFont="1" applyFill="1" applyAlignment="1">
      <alignment horizontal="center"/>
    </xf>
    <xf numFmtId="165" fontId="2" fillId="36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5" fillId="37" borderId="15" xfId="0" applyNumberFormat="1" applyFont="1" applyFill="1" applyBorder="1" applyAlignment="1">
      <alignment horizontal="center" vertical="center"/>
    </xf>
    <xf numFmtId="165" fontId="5" fillId="37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top" wrapText="1"/>
    </xf>
    <xf numFmtId="165" fontId="5" fillId="37" borderId="11" xfId="0" applyNumberFormat="1" applyFont="1" applyFill="1" applyBorder="1" applyAlignment="1">
      <alignment horizontal="center" vertical="center"/>
    </xf>
    <xf numFmtId="165" fontId="5" fillId="37" borderId="17" xfId="0" applyNumberFormat="1" applyFont="1" applyFill="1" applyBorder="1" applyAlignment="1">
      <alignment horizontal="center" vertical="center"/>
    </xf>
    <xf numFmtId="165" fontId="5" fillId="37" borderId="18" xfId="0" applyNumberFormat="1" applyFont="1" applyFill="1" applyBorder="1" applyAlignment="1">
      <alignment horizontal="center" vertical="center"/>
    </xf>
    <xf numFmtId="165" fontId="5" fillId="37" borderId="19" xfId="0" applyNumberFormat="1" applyFont="1" applyFill="1" applyBorder="1" applyAlignment="1">
      <alignment horizontal="center" vertical="center"/>
    </xf>
    <xf numFmtId="165" fontId="5" fillId="37" borderId="20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38" borderId="28" xfId="0" applyNumberFormat="1" applyFont="1" applyFill="1" applyBorder="1" applyAlignment="1">
      <alignment horizontal="center" vertical="center"/>
    </xf>
    <xf numFmtId="2" fontId="5" fillId="36" borderId="29" xfId="0" applyNumberFormat="1" applyFont="1" applyFill="1" applyBorder="1" applyAlignment="1">
      <alignment horizontal="center" vertical="center"/>
    </xf>
    <xf numFmtId="165" fontId="5" fillId="37" borderId="30" xfId="0" applyNumberFormat="1" applyFont="1" applyFill="1" applyBorder="1" applyAlignment="1">
      <alignment horizontal="center" vertical="center"/>
    </xf>
    <xf numFmtId="4" fontId="5" fillId="36" borderId="31" xfId="0" applyNumberFormat="1" applyFont="1" applyFill="1" applyBorder="1" applyAlignment="1">
      <alignment horizontal="center" vertical="center"/>
    </xf>
    <xf numFmtId="4" fontId="5" fillId="36" borderId="28" xfId="0" applyNumberFormat="1" applyFont="1" applyFill="1" applyBorder="1" applyAlignment="1">
      <alignment horizontal="center" vertical="center"/>
    </xf>
    <xf numFmtId="166" fontId="5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38" borderId="33" xfId="0" applyNumberFormat="1" applyFont="1" applyFill="1" applyBorder="1" applyAlignment="1">
      <alignment horizontal="center" vertical="center"/>
    </xf>
    <xf numFmtId="2" fontId="5" fillId="36" borderId="34" xfId="0" applyNumberFormat="1" applyFont="1" applyFill="1" applyBorder="1" applyAlignment="1">
      <alignment horizontal="center" vertical="center"/>
    </xf>
    <xf numFmtId="165" fontId="5" fillId="37" borderId="35" xfId="0" applyNumberFormat="1" applyFont="1" applyFill="1" applyBorder="1" applyAlignment="1">
      <alignment horizontal="center" vertical="center"/>
    </xf>
    <xf numFmtId="4" fontId="5" fillId="36" borderId="36" xfId="0" applyNumberFormat="1" applyFont="1" applyFill="1" applyBorder="1" applyAlignment="1">
      <alignment horizontal="center" vertical="center"/>
    </xf>
    <xf numFmtId="4" fontId="5" fillId="36" borderId="33" xfId="0" applyNumberFormat="1" applyFont="1" applyFill="1" applyBorder="1" applyAlignment="1">
      <alignment horizontal="center" vertical="center"/>
    </xf>
    <xf numFmtId="166" fontId="5" fillId="37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8" borderId="38" xfId="0" applyNumberFormat="1" applyFont="1" applyFill="1" applyBorder="1" applyAlignment="1">
      <alignment horizontal="center" vertical="center"/>
    </xf>
    <xf numFmtId="2" fontId="5" fillId="36" borderId="39" xfId="0" applyNumberFormat="1" applyFont="1" applyFill="1" applyBorder="1" applyAlignment="1">
      <alignment horizontal="center" vertical="center"/>
    </xf>
    <xf numFmtId="165" fontId="5" fillId="37" borderId="40" xfId="0" applyNumberFormat="1" applyFont="1" applyFill="1" applyBorder="1" applyAlignment="1">
      <alignment horizontal="center" vertical="center"/>
    </xf>
    <xf numFmtId="4" fontId="5" fillId="36" borderId="41" xfId="0" applyNumberFormat="1" applyFont="1" applyFill="1" applyBorder="1" applyAlignment="1">
      <alignment horizontal="center" vertical="center"/>
    </xf>
    <xf numFmtId="4" fontId="5" fillId="36" borderId="38" xfId="0" applyNumberFormat="1" applyFont="1" applyFill="1" applyBorder="1" applyAlignment="1">
      <alignment horizontal="center" vertical="center"/>
    </xf>
    <xf numFmtId="166" fontId="5" fillId="37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38" borderId="43" xfId="0" applyNumberFormat="1" applyFont="1" applyFill="1" applyBorder="1" applyAlignment="1">
      <alignment horizontal="center" vertical="center"/>
    </xf>
    <xf numFmtId="2" fontId="5" fillId="36" borderId="44" xfId="0" applyNumberFormat="1" applyFont="1" applyFill="1" applyBorder="1" applyAlignment="1">
      <alignment horizontal="center" vertical="center"/>
    </xf>
    <xf numFmtId="165" fontId="5" fillId="37" borderId="45" xfId="0" applyNumberFormat="1" applyFont="1" applyFill="1" applyBorder="1" applyAlignment="1">
      <alignment horizontal="center" vertical="center"/>
    </xf>
    <xf numFmtId="4" fontId="5" fillId="36" borderId="44" xfId="0" applyNumberFormat="1" applyFont="1" applyFill="1" applyBorder="1" applyAlignment="1">
      <alignment horizontal="center" vertical="center"/>
    </xf>
    <xf numFmtId="4" fontId="5" fillId="36" borderId="43" xfId="0" applyNumberFormat="1" applyFont="1" applyFill="1" applyBorder="1" applyAlignment="1">
      <alignment horizontal="center" vertical="center"/>
    </xf>
    <xf numFmtId="166" fontId="5" fillId="37" borderId="26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4" fontId="5" fillId="36" borderId="12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center" vertical="center"/>
    </xf>
    <xf numFmtId="2" fontId="5" fillId="36" borderId="36" xfId="0" applyNumberFormat="1" applyFont="1" applyFill="1" applyBorder="1" applyAlignment="1">
      <alignment horizontal="center" vertical="center"/>
    </xf>
    <xf numFmtId="165" fontId="5" fillId="37" borderId="48" xfId="0" applyNumberFormat="1" applyFont="1" applyFill="1" applyBorder="1" applyAlignment="1">
      <alignment horizontal="center" vertical="center"/>
    </xf>
    <xf numFmtId="4" fontId="5" fillId="36" borderId="49" xfId="0" applyNumberFormat="1" applyFont="1" applyFill="1" applyBorder="1" applyAlignment="1">
      <alignment horizontal="center" vertical="center"/>
    </xf>
    <xf numFmtId="166" fontId="5" fillId="37" borderId="2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3" fontId="5" fillId="0" borderId="24" xfId="0" applyNumberFormat="1" applyFont="1" applyFill="1" applyBorder="1" applyAlignment="1">
      <alignment horizontal="center" vertical="center"/>
    </xf>
    <xf numFmtId="2" fontId="5" fillId="36" borderId="41" xfId="0" applyNumberFormat="1" applyFont="1" applyFill="1" applyBorder="1" applyAlignment="1">
      <alignment horizontal="center" vertical="center"/>
    </xf>
    <xf numFmtId="165" fontId="5" fillId="37" borderId="50" xfId="0" applyNumberFormat="1" applyFont="1" applyFill="1" applyBorder="1" applyAlignment="1">
      <alignment horizontal="center" vertical="center"/>
    </xf>
    <xf numFmtId="4" fontId="5" fillId="36" borderId="51" xfId="0" applyNumberFormat="1" applyFont="1" applyFill="1" applyBorder="1" applyAlignment="1">
      <alignment horizontal="center" vertical="center"/>
    </xf>
    <xf numFmtId="166" fontId="5" fillId="37" borderId="24" xfId="0" applyNumberFormat="1" applyFont="1" applyFill="1" applyBorder="1" applyAlignment="1">
      <alignment horizontal="center" vertical="center"/>
    </xf>
    <xf numFmtId="4" fontId="5" fillId="36" borderId="34" xfId="0" applyNumberFormat="1" applyFont="1" applyFill="1" applyBorder="1" applyAlignment="1">
      <alignment horizontal="center" vertical="center"/>
    </xf>
    <xf numFmtId="166" fontId="5" fillId="37" borderId="1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165" fontId="5" fillId="37" borderId="52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47" xfId="0" applyFont="1" applyBorder="1" applyAlignment="1">
      <alignment horizontal="left" vertical="center"/>
    </xf>
    <xf numFmtId="0" fontId="7" fillId="37" borderId="23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65" fontId="5" fillId="37" borderId="16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2" fontId="5" fillId="36" borderId="36" xfId="0" applyNumberFormat="1" applyFont="1" applyFill="1" applyBorder="1" applyAlignment="1">
      <alignment horizontal="center" vertical="center"/>
    </xf>
    <xf numFmtId="165" fontId="5" fillId="37" borderId="48" xfId="0" applyNumberFormat="1" applyFont="1" applyFill="1" applyBorder="1" applyAlignment="1">
      <alignment horizontal="center" vertical="center"/>
    </xf>
    <xf numFmtId="4" fontId="5" fillId="36" borderId="36" xfId="0" applyNumberFormat="1" applyFont="1" applyFill="1" applyBorder="1" applyAlignment="1">
      <alignment horizontal="center" vertical="center"/>
    </xf>
    <xf numFmtId="4" fontId="5" fillId="36" borderId="49" xfId="0" applyNumberFormat="1" applyFont="1" applyFill="1" applyBorder="1" applyAlignment="1">
      <alignment horizontal="center" vertical="center"/>
    </xf>
    <xf numFmtId="166" fontId="5" fillId="37" borderId="23" xfId="0" applyNumberFormat="1" applyFont="1" applyFill="1" applyBorder="1" applyAlignment="1">
      <alignment horizontal="center" vertical="center"/>
    </xf>
    <xf numFmtId="165" fontId="5" fillId="37" borderId="15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2" fontId="5" fillId="36" borderId="34" xfId="0" applyNumberFormat="1" applyFont="1" applyFill="1" applyBorder="1" applyAlignment="1">
      <alignment horizontal="center" vertical="center"/>
    </xf>
    <xf numFmtId="165" fontId="5" fillId="37" borderId="35" xfId="0" applyNumberFormat="1" applyFont="1" applyFill="1" applyBorder="1" applyAlignment="1">
      <alignment horizontal="center" vertical="center"/>
    </xf>
    <xf numFmtId="4" fontId="5" fillId="36" borderId="33" xfId="0" applyNumberFormat="1" applyFont="1" applyFill="1" applyBorder="1" applyAlignment="1">
      <alignment horizontal="center" vertical="center"/>
    </xf>
    <xf numFmtId="3" fontId="5" fillId="38" borderId="24" xfId="0" applyNumberFormat="1" applyFont="1" applyFill="1" applyBorder="1" applyAlignment="1">
      <alignment horizontal="center" vertical="center"/>
    </xf>
    <xf numFmtId="3" fontId="5" fillId="38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/>
    </xf>
    <xf numFmtId="0" fontId="6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39" borderId="26" xfId="0" applyNumberFormat="1" applyFont="1" applyFill="1" applyBorder="1" applyAlignment="1">
      <alignment horizontal="center" vertical="center"/>
    </xf>
    <xf numFmtId="4" fontId="3" fillId="39" borderId="26" xfId="0" applyNumberFormat="1" applyFont="1" applyFill="1" applyBorder="1" applyAlignment="1">
      <alignment horizontal="center" vertical="center"/>
    </xf>
    <xf numFmtId="165" fontId="2" fillId="33" borderId="56" xfId="0" applyNumberFormat="1" applyFont="1" applyFill="1" applyBorder="1" applyAlignment="1">
      <alignment horizontal="center" vertical="top" wrapText="1"/>
    </xf>
    <xf numFmtId="166" fontId="2" fillId="33" borderId="25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165" fontId="2" fillId="0" borderId="46" xfId="0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1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67" fontId="41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2" fillId="33" borderId="48" xfId="0" applyFont="1" applyFill="1" applyBorder="1" applyAlignment="1" applyProtection="1">
      <alignment wrapText="1"/>
      <protection hidden="1"/>
    </xf>
    <xf numFmtId="0" fontId="0" fillId="0" borderId="32" xfId="0" applyBorder="1" applyAlignment="1" applyProtection="1">
      <alignment/>
      <protection hidden="1"/>
    </xf>
    <xf numFmtId="43" fontId="0" fillId="0" borderId="32" xfId="58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0" fillId="0" borderId="58" xfId="0" applyFont="1" applyFill="1" applyBorder="1" applyAlignment="1" applyProtection="1">
      <alignment wrapText="1"/>
      <protection hidden="1"/>
    </xf>
    <xf numFmtId="4" fontId="38" fillId="0" borderId="58" xfId="0" applyNumberFormat="1" applyFont="1" applyFill="1" applyBorder="1" applyAlignment="1" applyProtection="1">
      <alignment horizontal="right" vertical="center"/>
      <protection hidden="1"/>
    </xf>
    <xf numFmtId="43" fontId="29" fillId="0" borderId="58" xfId="58" applyFont="1" applyFill="1" applyBorder="1" applyAlignment="1" applyProtection="1">
      <alignment horizontal="center" vertical="center" wrapText="1"/>
      <protection hidden="1"/>
    </xf>
    <xf numFmtId="0" fontId="29" fillId="0" borderId="5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/>
      <protection hidden="1"/>
    </xf>
    <xf numFmtId="0" fontId="23" fillId="33" borderId="58" xfId="0" applyFont="1" applyFill="1" applyBorder="1" applyAlignment="1" applyProtection="1">
      <alignment vertical="top" wrapText="1"/>
      <protection hidden="1"/>
    </xf>
    <xf numFmtId="0" fontId="39" fillId="0" borderId="58" xfId="0" applyFont="1" applyBorder="1" applyAlignment="1" applyProtection="1">
      <alignment vertical="top" wrapText="1"/>
      <protection hidden="1"/>
    </xf>
    <xf numFmtId="43" fontId="39" fillId="0" borderId="58" xfId="58" applyFont="1" applyFill="1" applyBorder="1" applyAlignment="1" applyProtection="1">
      <alignment vertical="top" wrapText="1"/>
      <protection hidden="1"/>
    </xf>
    <xf numFmtId="0" fontId="39" fillId="0" borderId="58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0" fillId="0" borderId="58" xfId="0" applyFont="1" applyFill="1" applyBorder="1" applyAlignment="1" applyProtection="1">
      <alignment vertical="top" wrapText="1"/>
      <protection hidden="1"/>
    </xf>
    <xf numFmtId="0" fontId="23" fillId="0" borderId="58" xfId="0" applyFont="1" applyBorder="1" applyAlignment="1" applyProtection="1">
      <alignment vertical="top" wrapText="1"/>
      <protection hidden="1"/>
    </xf>
    <xf numFmtId="0" fontId="23" fillId="0" borderId="58" xfId="0" applyFont="1" applyBorder="1" applyAlignment="1" applyProtection="1">
      <alignment vertical="top" wrapText="1"/>
      <protection hidden="1"/>
    </xf>
    <xf numFmtId="0" fontId="23" fillId="0" borderId="58" xfId="0" applyFont="1" applyFill="1" applyBorder="1" applyAlignment="1" applyProtection="1">
      <alignment horizontal="center" vertical="top" wrapText="1"/>
      <protection hidden="1"/>
    </xf>
    <xf numFmtId="43" fontId="10" fillId="0" borderId="58" xfId="58" applyFont="1" applyFill="1" applyBorder="1" applyAlignment="1" applyProtection="1">
      <alignment/>
      <protection hidden="1"/>
    </xf>
    <xf numFmtId="0" fontId="10" fillId="0" borderId="58" xfId="0" applyFont="1" applyFill="1" applyBorder="1" applyAlignment="1" applyProtection="1">
      <alignment/>
      <protection hidden="1"/>
    </xf>
    <xf numFmtId="4" fontId="10" fillId="0" borderId="58" xfId="0" applyNumberFormat="1" applyFont="1" applyFill="1" applyBorder="1" applyAlignment="1" applyProtection="1">
      <alignment/>
      <protection hidden="1"/>
    </xf>
    <xf numFmtId="43" fontId="23" fillId="0" borderId="58" xfId="58" applyFont="1" applyFill="1" applyBorder="1" applyAlignment="1" applyProtection="1">
      <alignment vertical="top" wrapText="1"/>
      <protection hidden="1"/>
    </xf>
    <xf numFmtId="0" fontId="23" fillId="0" borderId="58" xfId="0" applyFont="1" applyFill="1" applyBorder="1" applyAlignment="1" applyProtection="1">
      <alignment vertical="top" wrapText="1"/>
      <protection hidden="1"/>
    </xf>
    <xf numFmtId="4" fontId="23" fillId="0" borderId="5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31" fillId="0" borderId="48" xfId="0" applyFont="1" applyFill="1" applyBorder="1" applyAlignment="1" applyProtection="1">
      <alignment/>
      <protection hidden="1"/>
    </xf>
    <xf numFmtId="0" fontId="31" fillId="0" borderId="32" xfId="0" applyFont="1" applyFill="1" applyBorder="1" applyAlignment="1" applyProtection="1">
      <alignment/>
      <protection hidden="1"/>
    </xf>
    <xf numFmtId="43" fontId="31" fillId="0" borderId="32" xfId="58" applyFont="1" applyFill="1" applyBorder="1" applyAlignment="1" applyProtection="1">
      <alignment/>
      <protection hidden="1"/>
    </xf>
    <xf numFmtId="0" fontId="31" fillId="0" borderId="57" xfId="0" applyFont="1" applyFill="1" applyBorder="1" applyAlignment="1" applyProtection="1">
      <alignment/>
      <protection hidden="1"/>
    </xf>
    <xf numFmtId="0" fontId="31" fillId="0" borderId="58" xfId="0" applyFont="1" applyFill="1" applyBorder="1" applyAlignment="1" applyProtection="1">
      <alignment/>
      <protection hidden="1"/>
    </xf>
    <xf numFmtId="43" fontId="31" fillId="0" borderId="58" xfId="58" applyFont="1" applyFill="1" applyBorder="1" applyAlignment="1" applyProtection="1">
      <alignment/>
      <protection hidden="1"/>
    </xf>
    <xf numFmtId="0" fontId="23" fillId="0" borderId="58" xfId="0" applyFont="1" applyFill="1" applyBorder="1" applyAlignment="1" applyProtection="1">
      <alignment vertical="top" wrapText="1"/>
      <protection hidden="1"/>
    </xf>
    <xf numFmtId="0" fontId="23" fillId="0" borderId="58" xfId="0" applyFont="1" applyFill="1" applyBorder="1" applyAlignment="1" applyProtection="1">
      <alignment horizontal="center" vertical="top" wrapText="1"/>
      <protection hidden="1"/>
    </xf>
    <xf numFmtId="43" fontId="23" fillId="0" borderId="58" xfId="58" applyFont="1" applyFill="1" applyBorder="1" applyAlignment="1" applyProtection="1">
      <alignment horizontal="right" vertical="top" wrapText="1" indent="2"/>
      <protection hidden="1"/>
    </xf>
    <xf numFmtId="0" fontId="23" fillId="0" borderId="58" xfId="0" applyFont="1" applyFill="1" applyBorder="1" applyAlignment="1" applyProtection="1">
      <alignment horizontal="center" wrapText="1"/>
      <protection hidden="1"/>
    </xf>
    <xf numFmtId="43" fontId="23" fillId="0" borderId="58" xfId="58" applyFont="1" applyFill="1" applyBorder="1" applyAlignment="1" applyProtection="1">
      <alignment horizontal="right" vertical="center" wrapText="1" indent="2"/>
      <protection hidden="1"/>
    </xf>
    <xf numFmtId="0" fontId="23" fillId="0" borderId="58" xfId="0" applyFont="1" applyFill="1" applyBorder="1" applyAlignment="1" applyProtection="1">
      <alignment horizontal="center" wrapText="1"/>
      <protection hidden="1"/>
    </xf>
    <xf numFmtId="4" fontId="23" fillId="0" borderId="58" xfId="0" applyNumberFormat="1" applyFont="1" applyFill="1" applyBorder="1" applyAlignment="1" applyProtection="1">
      <alignment horizontal="center" wrapText="1"/>
      <protection hidden="1"/>
    </xf>
    <xf numFmtId="43" fontId="25" fillId="0" borderId="58" xfId="58" applyFont="1" applyFill="1" applyBorder="1" applyAlignment="1" applyProtection="1">
      <alignment/>
      <protection hidden="1"/>
    </xf>
    <xf numFmtId="0" fontId="25" fillId="0" borderId="58" xfId="0" applyFont="1" applyFill="1" applyBorder="1" applyAlignment="1" applyProtection="1">
      <alignment/>
      <protection hidden="1"/>
    </xf>
    <xf numFmtId="0" fontId="32" fillId="0" borderId="58" xfId="0" applyFont="1" applyFill="1" applyBorder="1" applyAlignment="1" applyProtection="1">
      <alignment horizontal="center" vertical="center" wrapText="1"/>
      <protection hidden="1"/>
    </xf>
    <xf numFmtId="4" fontId="10" fillId="0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/>
      <protection hidden="1"/>
    </xf>
    <xf numFmtId="43" fontId="11" fillId="0" borderId="58" xfId="58" applyFont="1" applyFill="1" applyBorder="1" applyAlignment="1" applyProtection="1">
      <alignment/>
      <protection hidden="1"/>
    </xf>
    <xf numFmtId="0" fontId="31" fillId="33" borderId="58" xfId="0" applyFont="1" applyFill="1" applyBorder="1" applyAlignment="1" applyProtection="1">
      <alignment vertical="center" wrapText="1"/>
      <protection hidden="1"/>
    </xf>
    <xf numFmtId="0" fontId="26" fillId="0" borderId="58" xfId="0" applyFont="1" applyFill="1" applyBorder="1" applyAlignment="1" applyProtection="1">
      <alignment wrapText="1"/>
      <protection hidden="1"/>
    </xf>
    <xf numFmtId="4" fontId="19" fillId="0" borderId="58" xfId="0" applyNumberFormat="1" applyFont="1" applyFill="1" applyBorder="1" applyAlignment="1" applyProtection="1">
      <alignment horizontal="right" vertical="center"/>
      <protection hidden="1"/>
    </xf>
    <xf numFmtId="43" fontId="14" fillId="0" borderId="58" xfId="58" applyFont="1" applyFill="1" applyBorder="1" applyAlignment="1" applyProtection="1">
      <alignment/>
      <protection hidden="1"/>
    </xf>
    <xf numFmtId="0" fontId="14" fillId="0" borderId="58" xfId="0" applyFont="1" applyFill="1" applyBorder="1" applyAlignment="1" applyProtection="1">
      <alignment/>
      <protection hidden="1"/>
    </xf>
    <xf numFmtId="4" fontId="14" fillId="0" borderId="58" xfId="0" applyNumberFormat="1" applyFont="1" applyFill="1" applyBorder="1" applyAlignment="1" applyProtection="1">
      <alignment/>
      <protection hidden="1"/>
    </xf>
    <xf numFmtId="0" fontId="23" fillId="0" borderId="58" xfId="0" applyFont="1" applyFill="1" applyBorder="1" applyAlignment="1" applyProtection="1">
      <alignment horizontal="center"/>
      <protection hidden="1"/>
    </xf>
    <xf numFmtId="4" fontId="23" fillId="0" borderId="58" xfId="0" applyNumberFormat="1" applyFont="1" applyFill="1" applyBorder="1" applyAlignment="1" applyProtection="1">
      <alignment horizontal="center"/>
      <protection hidden="1"/>
    </xf>
    <xf numFmtId="0" fontId="23" fillId="0" borderId="58" xfId="0" applyFont="1" applyFill="1" applyBorder="1" applyAlignment="1" applyProtection="1">
      <alignment/>
      <protection hidden="1"/>
    </xf>
    <xf numFmtId="0" fontId="23" fillId="0" borderId="58" xfId="0" applyFont="1" applyFill="1" applyBorder="1" applyAlignment="1" applyProtection="1">
      <alignment wrapText="1"/>
      <protection hidden="1"/>
    </xf>
    <xf numFmtId="0" fontId="23" fillId="0" borderId="58" xfId="0" applyFont="1" applyFill="1" applyBorder="1" applyAlignment="1" applyProtection="1">
      <alignment/>
      <protection hidden="1"/>
    </xf>
    <xf numFmtId="2" fontId="23" fillId="0" borderId="58" xfId="0" applyNumberFormat="1" applyFont="1" applyFill="1" applyBorder="1" applyAlignment="1" applyProtection="1">
      <alignment horizontal="center"/>
      <protection hidden="1"/>
    </xf>
    <xf numFmtId="0" fontId="31" fillId="33" borderId="58" xfId="0" applyFont="1" applyFill="1" applyBorder="1" applyAlignment="1" applyProtection="1">
      <alignment wrapText="1"/>
      <protection hidden="1"/>
    </xf>
    <xf numFmtId="0" fontId="31" fillId="0" borderId="58" xfId="0" applyFont="1" applyFill="1" applyBorder="1" applyAlignment="1" applyProtection="1">
      <alignment wrapText="1"/>
      <protection hidden="1"/>
    </xf>
    <xf numFmtId="0" fontId="22" fillId="0" borderId="58" xfId="0" applyFont="1" applyFill="1" applyBorder="1" applyAlignment="1" applyProtection="1">
      <alignment wrapText="1"/>
      <protection hidden="1"/>
    </xf>
    <xf numFmtId="4" fontId="35" fillId="0" borderId="58" xfId="0" applyNumberFormat="1" applyFont="1" applyFill="1" applyBorder="1" applyAlignment="1" applyProtection="1">
      <alignment horizontal="right" vertical="center"/>
      <protection hidden="1"/>
    </xf>
    <xf numFmtId="43" fontId="36" fillId="0" borderId="58" xfId="58" applyFont="1" applyFill="1" applyBorder="1" applyAlignment="1" applyProtection="1">
      <alignment horizontal="center" vertical="center" wrapText="1"/>
      <protection hidden="1"/>
    </xf>
    <xf numFmtId="0" fontId="36" fillId="0" borderId="58" xfId="0" applyFont="1" applyFill="1" applyBorder="1" applyAlignment="1" applyProtection="1">
      <alignment horizontal="center" vertical="center" wrapText="1"/>
      <protection hidden="1"/>
    </xf>
    <xf numFmtId="43" fontId="23" fillId="0" borderId="58" xfId="58" applyFont="1" applyFill="1" applyBorder="1" applyAlignment="1" applyProtection="1">
      <alignment horizontal="right" wrapText="1" indent="2"/>
      <protection hidden="1"/>
    </xf>
    <xf numFmtId="43" fontId="23" fillId="0" borderId="58" xfId="58" applyFont="1" applyFill="1" applyBorder="1" applyAlignment="1" applyProtection="1">
      <alignment vertical="top" wrapText="1"/>
      <protection hidden="1"/>
    </xf>
    <xf numFmtId="0" fontId="31" fillId="0" borderId="58" xfId="0" applyFont="1" applyFill="1" applyBorder="1" applyAlignment="1" applyProtection="1">
      <alignment horizontal="center" vertical="top" wrapText="1"/>
      <protection hidden="1"/>
    </xf>
    <xf numFmtId="0" fontId="11" fillId="0" borderId="58" xfId="0" applyFont="1" applyFill="1" applyBorder="1" applyAlignment="1" applyProtection="1">
      <alignment horizontal="center" vertical="top" wrapText="1"/>
      <protection hidden="1"/>
    </xf>
    <xf numFmtId="4" fontId="11" fillId="0" borderId="58" xfId="0" applyNumberFormat="1" applyFont="1" applyFill="1" applyBorder="1" applyAlignment="1" applyProtection="1">
      <alignment horizontal="center" vertical="top" wrapText="1"/>
      <protection hidden="1"/>
    </xf>
    <xf numFmtId="0" fontId="23" fillId="0" borderId="58" xfId="0" applyFont="1" applyFill="1" applyBorder="1" applyAlignment="1" applyProtection="1">
      <alignment horizontal="center" vertical="center" wrapText="1"/>
      <protection hidden="1"/>
    </xf>
    <xf numFmtId="0" fontId="27" fillId="33" borderId="58" xfId="0" applyFont="1" applyFill="1" applyBorder="1" applyAlignment="1" applyProtection="1">
      <alignment/>
      <protection hidden="1"/>
    </xf>
    <xf numFmtId="0" fontId="23" fillId="33" borderId="58" xfId="0" applyFont="1" applyFill="1" applyBorder="1" applyAlignment="1" applyProtection="1">
      <alignment horizontal="center" vertical="top" wrapText="1"/>
      <protection hidden="1"/>
    </xf>
    <xf numFmtId="0" fontId="23" fillId="33" borderId="58" xfId="0" applyFont="1" applyFill="1" applyBorder="1" applyAlignment="1" applyProtection="1">
      <alignment horizontal="center"/>
      <protection hidden="1"/>
    </xf>
    <xf numFmtId="4" fontId="23" fillId="33" borderId="58" xfId="0" applyNumberFormat="1" applyFont="1" applyFill="1" applyBorder="1" applyAlignment="1" applyProtection="1">
      <alignment horizontal="center" vertical="top" wrapText="1"/>
      <protection hidden="1"/>
    </xf>
    <xf numFmtId="43" fontId="10" fillId="33" borderId="58" xfId="58" applyFont="1" applyFill="1" applyBorder="1" applyAlignment="1" applyProtection="1">
      <alignment/>
      <protection hidden="1"/>
    </xf>
    <xf numFmtId="0" fontId="10" fillId="33" borderId="58" xfId="0" applyFont="1" applyFill="1" applyBorder="1" applyAlignment="1" applyProtection="1">
      <alignment/>
      <protection hidden="1"/>
    </xf>
    <xf numFmtId="4" fontId="10" fillId="33" borderId="58" xfId="0" applyNumberFormat="1" applyFont="1" applyFill="1" applyBorder="1" applyAlignment="1" applyProtection="1">
      <alignment/>
      <protection hidden="1"/>
    </xf>
    <xf numFmtId="4" fontId="32" fillId="0" borderId="58" xfId="0" applyNumberFormat="1" applyFont="1" applyFill="1" applyBorder="1" applyAlignment="1" applyProtection="1">
      <alignment horizontal="right" vertical="center"/>
      <protection hidden="1"/>
    </xf>
    <xf numFmtId="0" fontId="23" fillId="0" borderId="59" xfId="0" applyFont="1" applyFill="1" applyBorder="1" applyAlignment="1" applyProtection="1">
      <alignment horizontal="center" vertical="top" wrapText="1"/>
      <protection hidden="1"/>
    </xf>
    <xf numFmtId="0" fontId="23" fillId="0" borderId="59" xfId="0" applyFont="1" applyFill="1" applyBorder="1" applyAlignment="1" applyProtection="1">
      <alignment horizontal="center"/>
      <protection hidden="1"/>
    </xf>
    <xf numFmtId="4" fontId="23" fillId="0" borderId="59" xfId="0" applyNumberFormat="1" applyFont="1" applyFill="1" applyBorder="1" applyAlignment="1" applyProtection="1">
      <alignment horizontal="center" vertical="top" wrapText="1"/>
      <protection hidden="1"/>
    </xf>
    <xf numFmtId="43" fontId="10" fillId="0" borderId="59" xfId="58" applyFont="1" applyFill="1" applyBorder="1" applyAlignment="1" applyProtection="1">
      <alignment/>
      <protection hidden="1"/>
    </xf>
    <xf numFmtId="0" fontId="10" fillId="0" borderId="59" xfId="0" applyFont="1" applyFill="1" applyBorder="1" applyAlignment="1" applyProtection="1">
      <alignment/>
      <protection hidden="1"/>
    </xf>
    <xf numFmtId="4" fontId="10" fillId="0" borderId="59" xfId="0" applyNumberFormat="1" applyFont="1" applyFill="1" applyBorder="1" applyAlignment="1" applyProtection="1">
      <alignment/>
      <protection hidden="1"/>
    </xf>
    <xf numFmtId="0" fontId="23" fillId="0" borderId="48" xfId="0" applyFont="1" applyFill="1" applyBorder="1" applyAlignment="1" applyProtection="1">
      <alignment horizontal="center"/>
      <protection hidden="1"/>
    </xf>
    <xf numFmtId="4" fontId="20" fillId="40" borderId="44" xfId="0" applyNumberFormat="1" applyFont="1" applyFill="1" applyBorder="1" applyAlignment="1" applyProtection="1">
      <alignment/>
      <protection hidden="1"/>
    </xf>
    <xf numFmtId="0" fontId="20" fillId="40" borderId="60" xfId="0" applyFont="1" applyFill="1" applyBorder="1" applyAlignment="1" applyProtection="1">
      <alignment/>
      <protection hidden="1"/>
    </xf>
    <xf numFmtId="43" fontId="20" fillId="40" borderId="60" xfId="58" applyFont="1" applyFill="1" applyBorder="1" applyAlignment="1" applyProtection="1">
      <alignment/>
      <protection hidden="1"/>
    </xf>
    <xf numFmtId="4" fontId="20" fillId="40" borderId="60" xfId="0" applyNumberFormat="1" applyFont="1" applyFill="1" applyBorder="1" applyAlignment="1" applyProtection="1">
      <alignment/>
      <protection hidden="1"/>
    </xf>
    <xf numFmtId="4" fontId="20" fillId="40" borderId="61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62" xfId="0" applyFont="1" applyFill="1" applyBorder="1" applyAlignment="1" applyProtection="1">
      <alignment horizontal="center" vertical="center" wrapText="1"/>
      <protection hidden="1"/>
    </xf>
    <xf numFmtId="0" fontId="23" fillId="0" borderId="62" xfId="0" applyFont="1" applyFill="1" applyBorder="1" applyAlignment="1" applyProtection="1">
      <alignment horizontal="center" vertical="center" wrapText="1"/>
      <protection hidden="1"/>
    </xf>
    <xf numFmtId="0" fontId="20" fillId="0" borderId="62" xfId="0" applyFont="1" applyFill="1" applyBorder="1" applyAlignment="1" applyProtection="1">
      <alignment horizontal="center" vertical="center"/>
      <protection hidden="1"/>
    </xf>
    <xf numFmtId="0" fontId="20" fillId="0" borderId="62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20" fillId="40" borderId="44" xfId="58" applyNumberFormat="1" applyFont="1" applyFill="1" applyBorder="1" applyAlignment="1" applyProtection="1">
      <alignment horizontal="center" vertical="center"/>
      <protection hidden="1"/>
    </xf>
    <xf numFmtId="43" fontId="20" fillId="40" borderId="60" xfId="58" applyFont="1" applyFill="1" applyBorder="1" applyAlignment="1" applyProtection="1">
      <alignment horizontal="center" vertical="center"/>
      <protection hidden="1"/>
    </xf>
    <xf numFmtId="4" fontId="11" fillId="40" borderId="60" xfId="0" applyNumberFormat="1" applyFont="1" applyFill="1" applyBorder="1" applyAlignment="1" applyProtection="1">
      <alignment horizontal="center" vertical="center"/>
      <protection hidden="1"/>
    </xf>
    <xf numFmtId="4" fontId="20" fillId="40" borderId="6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2" fontId="20" fillId="0" borderId="58" xfId="0" applyNumberFormat="1" applyFont="1" applyFill="1" applyBorder="1" applyAlignment="1" applyProtection="1">
      <alignment horizontal="center" vertical="center"/>
      <protection hidden="1"/>
    </xf>
    <xf numFmtId="2" fontId="20" fillId="0" borderId="48" xfId="0" applyNumberFormat="1" applyFont="1" applyFill="1" applyBorder="1" applyAlignment="1" applyProtection="1">
      <alignment horizontal="center"/>
      <protection hidden="1"/>
    </xf>
    <xf numFmtId="2" fontId="20" fillId="40" borderId="6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9" fontId="25" fillId="37" borderId="61" xfId="0" applyNumberFormat="1" applyFont="1" applyFill="1" applyBorder="1" applyAlignment="1" applyProtection="1">
      <alignment/>
      <protection hidden="1" locked="0"/>
    </xf>
    <xf numFmtId="0" fontId="23" fillId="37" borderId="58" xfId="0" applyFont="1" applyFill="1" applyBorder="1" applyAlignment="1" applyProtection="1">
      <alignment vertical="top" wrapText="1"/>
      <protection hidden="1" locked="0"/>
    </xf>
    <xf numFmtId="0" fontId="31" fillId="37" borderId="32" xfId="0" applyFont="1" applyFill="1" applyBorder="1" applyAlignment="1" applyProtection="1">
      <alignment/>
      <protection hidden="1" locked="0"/>
    </xf>
    <xf numFmtId="0" fontId="23" fillId="37" borderId="58" xfId="0" applyFont="1" applyFill="1" applyBorder="1" applyAlignment="1" applyProtection="1">
      <alignment horizontal="center" vertical="center" wrapText="1"/>
      <protection hidden="1" locked="0"/>
    </xf>
    <xf numFmtId="0" fontId="31" fillId="37" borderId="58" xfId="0" applyFont="1" applyFill="1" applyBorder="1" applyAlignment="1" applyProtection="1">
      <alignment/>
      <protection hidden="1" locked="0"/>
    </xf>
    <xf numFmtId="0" fontId="23" fillId="37" borderId="58" xfId="0" applyFont="1" applyFill="1" applyBorder="1" applyAlignment="1" applyProtection="1">
      <alignment horizontal="center" vertical="top" wrapText="1"/>
      <protection hidden="1" locked="0"/>
    </xf>
    <xf numFmtId="0" fontId="23" fillId="37" borderId="58" xfId="0" applyFont="1" applyFill="1" applyBorder="1" applyAlignment="1" applyProtection="1">
      <alignment horizontal="center" vertical="top" wrapText="1"/>
      <protection hidden="1" locked="0"/>
    </xf>
    <xf numFmtId="0" fontId="11" fillId="37" borderId="58" xfId="0" applyFont="1" applyFill="1" applyBorder="1" applyAlignment="1" applyProtection="1">
      <alignment horizontal="center" vertical="center" wrapText="1"/>
      <protection hidden="1" locked="0"/>
    </xf>
    <xf numFmtId="0" fontId="11" fillId="37" borderId="58" xfId="0" applyFont="1" applyFill="1" applyBorder="1" applyAlignment="1" applyProtection="1">
      <alignment/>
      <protection hidden="1" locked="0"/>
    </xf>
    <xf numFmtId="0" fontId="31" fillId="37" borderId="58" xfId="0" applyFont="1" applyFill="1" applyBorder="1" applyAlignment="1" applyProtection="1">
      <alignment wrapText="1"/>
      <protection hidden="1" locked="0"/>
    </xf>
    <xf numFmtId="0" fontId="20" fillId="37" borderId="32" xfId="0" applyFont="1" applyFill="1" applyBorder="1" applyAlignment="1" applyProtection="1">
      <alignment/>
      <protection hidden="1" locked="0"/>
    </xf>
    <xf numFmtId="0" fontId="31" fillId="37" borderId="58" xfId="0" applyFont="1" applyFill="1" applyBorder="1" applyAlignment="1" applyProtection="1">
      <alignment horizontal="left" wrapText="1"/>
      <protection hidden="1" locked="0"/>
    </xf>
    <xf numFmtId="0" fontId="11" fillId="37" borderId="58" xfId="0" applyFont="1" applyFill="1" applyBorder="1" applyAlignment="1" applyProtection="1">
      <alignment horizontal="left" wrapText="1"/>
      <protection hidden="1" locked="0"/>
    </xf>
    <xf numFmtId="0" fontId="23" fillId="37" borderId="58" xfId="0" applyFont="1" applyFill="1" applyBorder="1" applyAlignment="1" applyProtection="1">
      <alignment horizontal="center" wrapText="1"/>
      <protection hidden="1" locked="0"/>
    </xf>
    <xf numFmtId="0" fontId="23" fillId="37" borderId="58" xfId="0" applyFont="1" applyFill="1" applyBorder="1" applyAlignment="1" applyProtection="1">
      <alignment vertical="top" wrapText="1"/>
      <protection hidden="1" locked="0"/>
    </xf>
    <xf numFmtId="0" fontId="23" fillId="37" borderId="58" xfId="0" applyFont="1" applyFill="1" applyBorder="1" applyAlignment="1" applyProtection="1">
      <alignment horizontal="center"/>
      <protection hidden="1" locked="0"/>
    </xf>
    <xf numFmtId="0" fontId="11" fillId="37" borderId="59" xfId="0" applyFont="1" applyFill="1" applyBorder="1" applyAlignment="1" applyProtection="1">
      <alignment horizontal="center" vertical="center" wrapText="1"/>
      <protection hidden="1" locked="0"/>
    </xf>
    <xf numFmtId="0" fontId="20" fillId="37" borderId="32" xfId="0" applyFont="1" applyFill="1" applyBorder="1" applyAlignment="1" applyProtection="1">
      <alignment/>
      <protection hidden="1"/>
    </xf>
    <xf numFmtId="0" fontId="40" fillId="37" borderId="58" xfId="0" applyFont="1" applyFill="1" applyBorder="1" applyAlignment="1" applyProtection="1">
      <alignment vertical="top" wrapText="1"/>
      <protection hidden="1" locked="0"/>
    </xf>
    <xf numFmtId="0" fontId="42" fillId="0" borderId="58" xfId="0" applyFont="1" applyFill="1" applyBorder="1" applyAlignment="1" applyProtection="1">
      <alignment wrapText="1"/>
      <protection hidden="1"/>
    </xf>
    <xf numFmtId="0" fontId="42" fillId="0" borderId="58" xfId="0" applyFont="1" applyFill="1" applyBorder="1" applyAlignment="1" applyProtection="1">
      <alignment vertical="center"/>
      <protection hidden="1"/>
    </xf>
    <xf numFmtId="0" fontId="42" fillId="0" borderId="58" xfId="0" applyFont="1" applyFill="1" applyBorder="1" applyAlignment="1" applyProtection="1">
      <alignment/>
      <protection hidden="1"/>
    </xf>
    <xf numFmtId="43" fontId="44" fillId="0" borderId="58" xfId="58" applyFont="1" applyFill="1" applyBorder="1" applyAlignment="1" applyProtection="1">
      <alignment/>
      <protection hidden="1"/>
    </xf>
    <xf numFmtId="0" fontId="44" fillId="0" borderId="58" xfId="0" applyFont="1" applyFill="1" applyBorder="1" applyAlignment="1" applyProtection="1">
      <alignment/>
      <protection hidden="1"/>
    </xf>
    <xf numFmtId="4" fontId="44" fillId="0" borderId="58" xfId="0" applyNumberFormat="1" applyFont="1" applyFill="1" applyBorder="1" applyAlignment="1" applyProtection="1">
      <alignment/>
      <protection hidden="1"/>
    </xf>
    <xf numFmtId="0" fontId="32" fillId="37" borderId="58" xfId="0" applyFont="1" applyFill="1" applyBorder="1" applyAlignment="1" applyProtection="1">
      <alignment horizontal="center" vertical="center" wrapText="1"/>
      <protection hidden="1" locked="0"/>
    </xf>
    <xf numFmtId="0" fontId="42" fillId="0" borderId="58" xfId="0" applyFont="1" applyFill="1" applyBorder="1" applyAlignment="1" applyProtection="1">
      <alignment horizontal="center"/>
      <protection hidden="1"/>
    </xf>
    <xf numFmtId="4" fontId="42" fillId="0" borderId="58" xfId="0" applyNumberFormat="1" applyFont="1" applyFill="1" applyBorder="1" applyAlignment="1" applyProtection="1">
      <alignment horizontal="center"/>
      <protection hidden="1"/>
    </xf>
    <xf numFmtId="0" fontId="42" fillId="0" borderId="58" xfId="0" applyFont="1" applyFill="1" applyBorder="1" applyAlignment="1" applyProtection="1">
      <alignment/>
      <protection hidden="1"/>
    </xf>
    <xf numFmtId="2" fontId="42" fillId="0" borderId="58" xfId="0" applyNumberFormat="1" applyFont="1" applyFill="1" applyBorder="1" applyAlignment="1" applyProtection="1">
      <alignment horizontal="center"/>
      <protection hidden="1"/>
    </xf>
    <xf numFmtId="0" fontId="42" fillId="37" borderId="58" xfId="0" applyFont="1" applyFill="1" applyBorder="1" applyAlignment="1" applyProtection="1">
      <alignment horizontal="center"/>
      <protection hidden="1" locked="0"/>
    </xf>
    <xf numFmtId="4" fontId="10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57" xfId="0" applyFont="1" applyBorder="1" applyAlignment="1">
      <alignment vertical="top" wrapText="1"/>
    </xf>
    <xf numFmtId="0" fontId="11" fillId="41" borderId="58" xfId="0" applyFont="1" applyFill="1" applyBorder="1" applyAlignment="1" applyProtection="1">
      <alignment horizontal="center" vertical="center" wrapText="1"/>
      <protection hidden="1" locked="0"/>
    </xf>
    <xf numFmtId="0" fontId="31" fillId="0" borderId="58" xfId="0" applyFont="1" applyFill="1" applyBorder="1" applyAlignment="1" applyProtection="1">
      <alignment wrapText="1"/>
      <protection hidden="1" locked="0"/>
    </xf>
    <xf numFmtId="4" fontId="78" fillId="0" borderId="58" xfId="0" applyNumberFormat="1" applyFont="1" applyFill="1" applyBorder="1" applyAlignment="1" applyProtection="1">
      <alignment horizontal="center"/>
      <protection hidden="1"/>
    </xf>
    <xf numFmtId="0" fontId="78" fillId="0" borderId="58" xfId="0" applyFont="1" applyFill="1" applyBorder="1" applyAlignment="1" applyProtection="1">
      <alignment horizontal="center"/>
      <protection hidden="1"/>
    </xf>
    <xf numFmtId="4" fontId="15" fillId="0" borderId="54" xfId="0" applyNumberFormat="1" applyFont="1" applyBorder="1" applyAlignment="1">
      <alignment horizontal="center" vertical="center"/>
    </xf>
    <xf numFmtId="4" fontId="15" fillId="0" borderId="55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46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" fontId="16" fillId="0" borderId="4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20" fillId="40" borderId="20" xfId="0" applyNumberFormat="1" applyFont="1" applyFill="1" applyBorder="1" applyAlignment="1" applyProtection="1">
      <alignment horizontal="center"/>
      <protection hidden="1"/>
    </xf>
    <xf numFmtId="2" fontId="20" fillId="40" borderId="63" xfId="0" applyNumberFormat="1" applyFont="1" applyFill="1" applyBorder="1" applyAlignment="1" applyProtection="1">
      <alignment horizontal="center"/>
      <protection hidden="1"/>
    </xf>
    <xf numFmtId="2" fontId="20" fillId="40" borderId="45" xfId="0" applyNumberFormat="1" applyFont="1" applyFill="1" applyBorder="1" applyAlignment="1" applyProtection="1">
      <alignment horizontal="center"/>
      <protection hidden="1"/>
    </xf>
    <xf numFmtId="0" fontId="23" fillId="0" borderId="64" xfId="0" applyFont="1" applyFill="1" applyBorder="1" applyAlignment="1" applyProtection="1">
      <alignment horizontal="center" vertical="center" wrapText="1"/>
      <protection hidden="1"/>
    </xf>
    <xf numFmtId="0" fontId="23" fillId="0" borderId="65" xfId="0" applyFont="1" applyFill="1" applyBorder="1" applyAlignment="1" applyProtection="1">
      <alignment horizontal="center" vertical="center" wrapText="1"/>
      <protection hidden="1"/>
    </xf>
    <xf numFmtId="0" fontId="12" fillId="0" borderId="58" xfId="0" applyFont="1" applyFill="1" applyBorder="1" applyAlignment="1" applyProtection="1">
      <alignment horizontal="center" vertical="center" wrapText="1"/>
      <protection hidden="1"/>
    </xf>
    <xf numFmtId="4" fontId="13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5" fillId="37" borderId="66" xfId="0" applyFont="1" applyFill="1" applyBorder="1" applyAlignment="1" applyProtection="1">
      <alignment horizontal="center"/>
      <protection hidden="1" locked="0"/>
    </xf>
    <xf numFmtId="0" fontId="25" fillId="37" borderId="67" xfId="0" applyFont="1" applyFill="1" applyBorder="1" applyAlignment="1" applyProtection="1">
      <alignment horizontal="center"/>
      <protection hidden="1" locked="0"/>
    </xf>
    <xf numFmtId="0" fontId="25" fillId="37" borderId="68" xfId="0" applyFont="1" applyFill="1" applyBorder="1" applyAlignment="1" applyProtection="1">
      <alignment horizontal="center"/>
      <protection hidden="1" locked="0"/>
    </xf>
    <xf numFmtId="0" fontId="25" fillId="37" borderId="35" xfId="0" applyFont="1" applyFill="1" applyBorder="1" applyAlignment="1" applyProtection="1">
      <alignment horizontal="center"/>
      <protection hidden="1" locked="0"/>
    </xf>
    <xf numFmtId="0" fontId="25" fillId="37" borderId="47" xfId="0" applyFont="1" applyFill="1" applyBorder="1" applyAlignment="1" applyProtection="1">
      <alignment horizontal="center"/>
      <protection hidden="1" locked="0"/>
    </xf>
    <xf numFmtId="0" fontId="25" fillId="37" borderId="69" xfId="0" applyFont="1" applyFill="1" applyBorder="1" applyAlignment="1" applyProtection="1">
      <alignment horizontal="center"/>
      <protection hidden="1" locked="0"/>
    </xf>
    <xf numFmtId="167" fontId="41" fillId="0" borderId="20" xfId="0" applyNumberFormat="1" applyFont="1" applyFill="1" applyBorder="1" applyAlignment="1" applyProtection="1">
      <alignment horizontal="left"/>
      <protection hidden="1"/>
    </xf>
    <xf numFmtId="167" fontId="41" fillId="0" borderId="42" xfId="0" applyNumberFormat="1" applyFont="1" applyFill="1" applyBorder="1" applyAlignment="1" applyProtection="1">
      <alignment horizontal="left"/>
      <protection hidden="1"/>
    </xf>
    <xf numFmtId="0" fontId="21" fillId="0" borderId="70" xfId="0" applyFont="1" applyFill="1" applyBorder="1" applyAlignment="1" applyProtection="1">
      <alignment horizontal="center" vertical="center"/>
      <protection hidden="1"/>
    </xf>
    <xf numFmtId="0" fontId="21" fillId="0" borderId="71" xfId="0" applyFont="1" applyFill="1" applyBorder="1" applyAlignment="1" applyProtection="1">
      <alignment horizontal="center" vertical="center"/>
      <protection hidden="1"/>
    </xf>
    <xf numFmtId="0" fontId="21" fillId="0" borderId="72" xfId="0" applyFont="1" applyFill="1" applyBorder="1" applyAlignment="1" applyProtection="1">
      <alignment horizontal="center" vertical="center"/>
      <protection hidden="1"/>
    </xf>
    <xf numFmtId="0" fontId="21" fillId="0" borderId="7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74" xfId="0" applyFont="1" applyFill="1" applyBorder="1" applyAlignment="1" applyProtection="1">
      <alignment horizontal="center" vertical="center"/>
      <protection hidden="1"/>
    </xf>
    <xf numFmtId="0" fontId="21" fillId="0" borderId="75" xfId="0" applyFont="1" applyFill="1" applyBorder="1" applyAlignment="1" applyProtection="1">
      <alignment horizontal="center" vertical="center"/>
      <protection hidden="1"/>
    </xf>
    <xf numFmtId="0" fontId="21" fillId="0" borderId="76" xfId="0" applyFont="1" applyFill="1" applyBorder="1" applyAlignment="1" applyProtection="1">
      <alignment horizontal="center" vertical="center"/>
      <protection hidden="1"/>
    </xf>
    <xf numFmtId="0" fontId="21" fillId="0" borderId="77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4" fontId="12" fillId="0" borderId="58" xfId="0" applyNumberFormat="1" applyFont="1" applyFill="1" applyBorder="1" applyAlignment="1" applyProtection="1">
      <alignment horizontal="center" vertical="center" wrapText="1"/>
      <protection hidden="1"/>
    </xf>
    <xf numFmtId="14" fontId="25" fillId="37" borderId="20" xfId="0" applyNumberFormat="1" applyFont="1" applyFill="1" applyBorder="1" applyAlignment="1" applyProtection="1">
      <alignment horizontal="center"/>
      <protection hidden="1" locked="0"/>
    </xf>
    <xf numFmtId="0" fontId="25" fillId="37" borderId="43" xfId="0" applyFont="1" applyFill="1" applyBorder="1" applyAlignment="1" applyProtection="1">
      <alignment horizontal="center"/>
      <protection hidden="1" locked="0"/>
    </xf>
    <xf numFmtId="14" fontId="24" fillId="37" borderId="20" xfId="0" applyNumberFormat="1" applyFont="1" applyFill="1" applyBorder="1" applyAlignment="1" applyProtection="1">
      <alignment horizontal="center"/>
      <protection hidden="1" locked="0"/>
    </xf>
    <xf numFmtId="0" fontId="24" fillId="37" borderId="43" xfId="0" applyFont="1" applyFill="1" applyBorder="1" applyAlignment="1" applyProtection="1">
      <alignment horizontal="center"/>
      <protection hidden="1" locked="0"/>
    </xf>
    <xf numFmtId="0" fontId="25" fillId="37" borderId="58" xfId="0" applyFont="1" applyFill="1" applyBorder="1" applyAlignment="1" applyProtection="1">
      <alignment horizontal="center"/>
      <protection hidden="1" locked="0"/>
    </xf>
    <xf numFmtId="0" fontId="28" fillId="37" borderId="58" xfId="0" applyFont="1" applyFill="1" applyBorder="1" applyAlignment="1" applyProtection="1">
      <alignment horizontal="center"/>
      <protection hidden="1" locked="0"/>
    </xf>
    <xf numFmtId="0" fontId="25" fillId="37" borderId="48" xfId="0" applyFont="1" applyFill="1" applyBorder="1" applyAlignment="1" applyProtection="1">
      <alignment horizontal="center"/>
      <protection hidden="1" locked="0"/>
    </xf>
    <xf numFmtId="0" fontId="25" fillId="37" borderId="32" xfId="0" applyFont="1" applyFill="1" applyBorder="1" applyAlignment="1" applyProtection="1">
      <alignment horizontal="center"/>
      <protection hidden="1" locked="0"/>
    </xf>
    <xf numFmtId="0" fontId="25" fillId="37" borderId="57" xfId="0" applyFont="1" applyFill="1" applyBorder="1" applyAlignment="1" applyProtection="1">
      <alignment horizontal="center"/>
      <protection hidden="1" locked="0"/>
    </xf>
    <xf numFmtId="2" fontId="20" fillId="0" borderId="66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4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43" fontId="20" fillId="40" borderId="45" xfId="58" applyFont="1" applyFill="1" applyBorder="1" applyAlignment="1" applyProtection="1">
      <alignment horizontal="center" vertical="center"/>
      <protection hidden="1"/>
    </xf>
    <xf numFmtId="43" fontId="20" fillId="40" borderId="63" xfId="58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164" fontId="20" fillId="40" borderId="45" xfId="58" applyNumberFormat="1" applyFont="1" applyFill="1" applyBorder="1" applyAlignment="1" applyProtection="1">
      <alignment horizontal="center" vertical="center"/>
      <protection hidden="1"/>
    </xf>
    <xf numFmtId="164" fontId="20" fillId="40" borderId="63" xfId="58" applyNumberFormat="1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620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620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371475</xdr:rowOff>
    </xdr:from>
    <xdr:to>
      <xdr:col>13</xdr:col>
      <xdr:colOff>0</xdr:colOff>
      <xdr:row>1</xdr:row>
      <xdr:rowOff>371475</xdr:rowOff>
    </xdr:to>
    <xdr:sp>
      <xdr:nvSpPr>
        <xdr:cNvPr id="21" name="Line 21"/>
        <xdr:cNvSpPr>
          <a:spLocks/>
        </xdr:cNvSpPr>
      </xdr:nvSpPr>
      <xdr:spPr>
        <a:xfrm>
          <a:off x="962025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619125</xdr:rowOff>
    </xdr:from>
    <xdr:to>
      <xdr:col>13</xdr:col>
      <xdr:colOff>0</xdr:colOff>
      <xdr:row>1</xdr:row>
      <xdr:rowOff>619125</xdr:rowOff>
    </xdr:to>
    <xdr:sp>
      <xdr:nvSpPr>
        <xdr:cNvPr id="22" name="Line 22"/>
        <xdr:cNvSpPr>
          <a:spLocks/>
        </xdr:cNvSpPr>
      </xdr:nvSpPr>
      <xdr:spPr>
        <a:xfrm>
          <a:off x="96202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371475</xdr:rowOff>
    </xdr:from>
    <xdr:to>
      <xdr:col>13</xdr:col>
      <xdr:colOff>0</xdr:colOff>
      <xdr:row>1</xdr:row>
      <xdr:rowOff>371475</xdr:rowOff>
    </xdr:to>
    <xdr:sp>
      <xdr:nvSpPr>
        <xdr:cNvPr id="23" name="Line 23"/>
        <xdr:cNvSpPr>
          <a:spLocks/>
        </xdr:cNvSpPr>
      </xdr:nvSpPr>
      <xdr:spPr>
        <a:xfrm>
          <a:off x="962025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619125</xdr:rowOff>
    </xdr:from>
    <xdr:to>
      <xdr:col>13</xdr:col>
      <xdr:colOff>0</xdr:colOff>
      <xdr:row>1</xdr:row>
      <xdr:rowOff>619125</xdr:rowOff>
    </xdr:to>
    <xdr:sp>
      <xdr:nvSpPr>
        <xdr:cNvPr id="24" name="Line 24"/>
        <xdr:cNvSpPr>
          <a:spLocks/>
        </xdr:cNvSpPr>
      </xdr:nvSpPr>
      <xdr:spPr>
        <a:xfrm>
          <a:off x="96202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3" sqref="G3:G20"/>
    </sheetView>
  </sheetViews>
  <sheetFormatPr defaultColWidth="9.140625" defaultRowHeight="12"/>
  <cols>
    <col min="1" max="1" width="11.28125" style="16" customWidth="1"/>
    <col min="2" max="2" width="30.28125" style="2" customWidth="1"/>
    <col min="3" max="3" width="8.8515625" style="3" customWidth="1"/>
    <col min="4" max="4" width="6.00390625" style="2" customWidth="1"/>
    <col min="5" max="5" width="7.140625" style="2" customWidth="1"/>
    <col min="6" max="6" width="9.7109375" style="4" customWidth="1"/>
    <col min="7" max="7" width="9.421875" style="4" customWidth="1"/>
    <col min="8" max="8" width="7.8515625" style="1" customWidth="1"/>
    <col min="9" max="9" width="8.140625" style="21" customWidth="1"/>
    <col min="10" max="10" width="11.28125" style="2" bestFit="1" customWidth="1"/>
    <col min="11" max="11" width="11.7109375" style="5" customWidth="1"/>
    <col min="12" max="12" width="11.140625" style="9" bestFit="1" customWidth="1"/>
    <col min="13" max="13" width="11.421875" style="6" bestFit="1" customWidth="1"/>
    <col min="14" max="16384" width="9.28125" style="7" customWidth="1"/>
  </cols>
  <sheetData>
    <row r="1" spans="2:13" ht="24" customHeight="1" thickBot="1">
      <c r="B1" s="126"/>
      <c r="C1" s="144"/>
      <c r="D1" s="126"/>
      <c r="E1" s="126"/>
      <c r="F1" s="145" t="s">
        <v>75</v>
      </c>
      <c r="G1" s="128"/>
      <c r="H1" s="146"/>
      <c r="I1" s="129"/>
      <c r="J1" s="126"/>
      <c r="K1" s="147"/>
      <c r="L1" s="148"/>
      <c r="M1" s="149"/>
    </row>
    <row r="2" spans="1:13" s="10" customFormat="1" ht="48.75" customHeight="1" thickBot="1">
      <c r="A2" s="15"/>
      <c r="B2" s="141"/>
      <c r="C2" s="17" t="s">
        <v>3</v>
      </c>
      <c r="D2" s="142" t="s">
        <v>6</v>
      </c>
      <c r="E2" s="143" t="s">
        <v>23</v>
      </c>
      <c r="F2" s="12" t="s">
        <v>4</v>
      </c>
      <c r="G2" s="26" t="s">
        <v>5</v>
      </c>
      <c r="H2" s="13" t="s">
        <v>14</v>
      </c>
      <c r="I2" s="139" t="s">
        <v>13</v>
      </c>
      <c r="J2" s="14" t="s">
        <v>28</v>
      </c>
      <c r="K2" s="14" t="s">
        <v>15</v>
      </c>
      <c r="L2" s="140" t="s">
        <v>16</v>
      </c>
      <c r="M2" s="14" t="s">
        <v>17</v>
      </c>
    </row>
    <row r="3" spans="1:13" s="47" customFormat="1" ht="12">
      <c r="A3" s="325" t="s">
        <v>24</v>
      </c>
      <c r="B3" s="39"/>
      <c r="C3" s="28">
        <v>0.25</v>
      </c>
      <c r="D3" s="32">
        <v>30</v>
      </c>
      <c r="E3" s="32">
        <v>40</v>
      </c>
      <c r="F3" s="40"/>
      <c r="G3" s="41">
        <f>'Бланк-заказ'!C72</f>
        <v>12</v>
      </c>
      <c r="H3" s="42">
        <f>C3*D3</f>
        <v>7.5</v>
      </c>
      <c r="I3" s="43">
        <v>13.531</v>
      </c>
      <c r="J3" s="44">
        <f>H3*G3/10</f>
        <v>9</v>
      </c>
      <c r="K3" s="45">
        <f>I3*G3</f>
        <v>162.372</v>
      </c>
      <c r="L3" s="46">
        <f>0.392*0.326*0.2</f>
        <v>0.025558400000000005</v>
      </c>
      <c r="M3" s="45">
        <f>L3*G3</f>
        <v>0.30670080000000005</v>
      </c>
    </row>
    <row r="4" spans="1:13" s="56" customFormat="1" ht="12">
      <c r="A4" s="326"/>
      <c r="B4" s="48"/>
      <c r="C4" s="23">
        <v>0.7</v>
      </c>
      <c r="D4" s="33">
        <v>12</v>
      </c>
      <c r="E4" s="34">
        <v>40</v>
      </c>
      <c r="F4" s="49"/>
      <c r="G4" s="50">
        <f>'Бланк-заказ'!C73</f>
        <v>4</v>
      </c>
      <c r="H4" s="51">
        <f>C4*D4</f>
        <v>8.399999999999999</v>
      </c>
      <c r="I4" s="52">
        <v>15.148</v>
      </c>
      <c r="J4" s="53">
        <f aca="true" t="shared" si="0" ref="J4:J20">H4*G4/10</f>
        <v>3.3599999999999994</v>
      </c>
      <c r="K4" s="54">
        <f aca="true" t="shared" si="1" ref="K4:K18">I4*G4</f>
        <v>60.592</v>
      </c>
      <c r="L4" s="55">
        <f>0.342*0.253*0.306</f>
        <v>0.026476956000000003</v>
      </c>
      <c r="M4" s="54">
        <f aca="true" t="shared" si="2" ref="M4:M18">L4*G4</f>
        <v>0.10590782400000001</v>
      </c>
    </row>
    <row r="5" spans="1:13" s="47" customFormat="1" ht="12.75" thickBot="1">
      <c r="A5" s="327"/>
      <c r="B5" s="57"/>
      <c r="C5" s="29">
        <v>3</v>
      </c>
      <c r="D5" s="35">
        <v>4</v>
      </c>
      <c r="E5" s="36">
        <v>40</v>
      </c>
      <c r="F5" s="58"/>
      <c r="G5" s="59">
        <f>'Бланк-заказ'!C74</f>
        <v>12</v>
      </c>
      <c r="H5" s="60">
        <f aca="true" t="shared" si="3" ref="H5:H18">C5*D5</f>
        <v>12</v>
      </c>
      <c r="I5" s="61">
        <v>12.862</v>
      </c>
      <c r="J5" s="62">
        <f t="shared" si="0"/>
        <v>14.4</v>
      </c>
      <c r="K5" s="63">
        <f t="shared" si="1"/>
        <v>154.344</v>
      </c>
      <c r="L5" s="64">
        <f>0.374*0.194*0.252</f>
        <v>0.018284111999999998</v>
      </c>
      <c r="M5" s="63">
        <f t="shared" si="2"/>
        <v>0.21940934399999998</v>
      </c>
    </row>
    <row r="6" spans="1:13" s="56" customFormat="1" ht="12.75" thickBot="1">
      <c r="A6" s="65" t="s">
        <v>25</v>
      </c>
      <c r="B6" s="66"/>
      <c r="C6" s="31">
        <v>0.75</v>
      </c>
      <c r="D6" s="37">
        <v>12</v>
      </c>
      <c r="E6" s="37">
        <v>40</v>
      </c>
      <c r="F6" s="67"/>
      <c r="G6" s="68">
        <f>'Бланк-заказ'!C75</f>
        <v>30</v>
      </c>
      <c r="H6" s="69">
        <f t="shared" si="3"/>
        <v>9</v>
      </c>
      <c r="I6" s="70">
        <v>14.414</v>
      </c>
      <c r="J6" s="71">
        <f t="shared" si="0"/>
        <v>27</v>
      </c>
      <c r="K6" s="72">
        <f t="shared" si="1"/>
        <v>432.42</v>
      </c>
      <c r="L6" s="73">
        <f>0.342*0.253*0.313</f>
        <v>0.027082638000000003</v>
      </c>
      <c r="M6" s="72">
        <f t="shared" si="2"/>
        <v>0.8124791400000001</v>
      </c>
    </row>
    <row r="7" spans="1:13" s="56" customFormat="1" ht="12">
      <c r="A7" s="326"/>
      <c r="B7" s="48"/>
      <c r="C7" s="23">
        <v>0.1</v>
      </c>
      <c r="D7" s="33">
        <v>50</v>
      </c>
      <c r="E7" s="34">
        <v>30</v>
      </c>
      <c r="F7" s="49"/>
      <c r="G7" s="50">
        <f>'Бланк-заказ'!C76</f>
        <v>12</v>
      </c>
      <c r="H7" s="51">
        <f t="shared" si="3"/>
        <v>5</v>
      </c>
      <c r="I7" s="52">
        <v>12.236</v>
      </c>
      <c r="J7" s="53">
        <f t="shared" si="0"/>
        <v>6</v>
      </c>
      <c r="K7" s="54">
        <f t="shared" si="1"/>
        <v>146.832</v>
      </c>
      <c r="L7" s="55">
        <f>0.48*0.249*0.182</f>
        <v>0.02175264</v>
      </c>
      <c r="M7" s="54">
        <f t="shared" si="2"/>
        <v>0.26103168</v>
      </c>
    </row>
    <row r="8" spans="1:13" s="47" customFormat="1" ht="12">
      <c r="A8" s="326"/>
      <c r="B8" s="48"/>
      <c r="C8" s="23">
        <v>0.25</v>
      </c>
      <c r="D8" s="33">
        <v>25</v>
      </c>
      <c r="E8" s="34">
        <v>30</v>
      </c>
      <c r="F8" s="49"/>
      <c r="G8" s="50">
        <f>'Бланк-заказ'!C77</f>
        <v>12</v>
      </c>
      <c r="H8" s="51">
        <f t="shared" si="3"/>
        <v>6.25</v>
      </c>
      <c r="I8" s="52">
        <v>13.739</v>
      </c>
      <c r="J8" s="53">
        <f t="shared" si="0"/>
        <v>7.5</v>
      </c>
      <c r="K8" s="54">
        <f t="shared" si="1"/>
        <v>164.868</v>
      </c>
      <c r="L8" s="55">
        <f>0.48*0.249*0.182</f>
        <v>0.02175264</v>
      </c>
      <c r="M8" s="54">
        <f t="shared" si="2"/>
        <v>0.26103168</v>
      </c>
    </row>
    <row r="9" spans="1:13" s="56" customFormat="1" ht="12">
      <c r="A9" s="326"/>
      <c r="B9" s="48"/>
      <c r="C9" s="23">
        <v>0.375</v>
      </c>
      <c r="D9" s="33">
        <v>20</v>
      </c>
      <c r="E9" s="33">
        <v>20</v>
      </c>
      <c r="F9" s="77"/>
      <c r="G9" s="50">
        <f>'Бланк-заказ'!C376</f>
        <v>24</v>
      </c>
      <c r="H9" s="78">
        <f t="shared" si="3"/>
        <v>7.5</v>
      </c>
      <c r="I9" s="79">
        <v>16.203</v>
      </c>
      <c r="J9" s="53">
        <f t="shared" si="0"/>
        <v>18</v>
      </c>
      <c r="K9" s="80">
        <f t="shared" si="1"/>
        <v>388.87199999999996</v>
      </c>
      <c r="L9" s="55">
        <f>0.409*0.327*0.249</f>
        <v>0.033302007</v>
      </c>
      <c r="M9" s="80">
        <f t="shared" si="2"/>
        <v>0.7992481680000001</v>
      </c>
    </row>
    <row r="10" spans="1:13" s="47" customFormat="1" ht="12">
      <c r="A10" s="326"/>
      <c r="B10" s="48"/>
      <c r="C10" s="23">
        <v>0.5</v>
      </c>
      <c r="D10" s="33">
        <v>6</v>
      </c>
      <c r="E10" s="33">
        <v>72</v>
      </c>
      <c r="F10" s="77"/>
      <c r="G10" s="50">
        <f>'Бланк-заказ'!C57</f>
        <v>4</v>
      </c>
      <c r="H10" s="78">
        <f t="shared" si="3"/>
        <v>3</v>
      </c>
      <c r="I10" s="79">
        <v>6.071</v>
      </c>
      <c r="J10" s="53">
        <f t="shared" si="0"/>
        <v>1.2</v>
      </c>
      <c r="K10" s="80">
        <f t="shared" si="1"/>
        <v>24.284</v>
      </c>
      <c r="L10" s="81">
        <f>0.255*0.17*0.268</f>
        <v>0.011617800000000003</v>
      </c>
      <c r="M10" s="80">
        <f t="shared" si="2"/>
        <v>0.04647120000000001</v>
      </c>
    </row>
    <row r="11" spans="1:13" s="47" customFormat="1" ht="12.75" thickBot="1">
      <c r="A11" s="327"/>
      <c r="B11" s="82"/>
      <c r="C11" s="29">
        <v>0.7</v>
      </c>
      <c r="D11" s="35">
        <v>6</v>
      </c>
      <c r="E11" s="35">
        <v>32</v>
      </c>
      <c r="F11" s="83"/>
      <c r="G11" s="114">
        <f>'Бланк-заказ'!C58</f>
        <v>12</v>
      </c>
      <c r="H11" s="84">
        <f t="shared" si="3"/>
        <v>4.199999999999999</v>
      </c>
      <c r="I11" s="85">
        <v>10.005</v>
      </c>
      <c r="J11" s="62">
        <f t="shared" si="0"/>
        <v>5.039999999999999</v>
      </c>
      <c r="K11" s="86">
        <f t="shared" si="1"/>
        <v>120.06</v>
      </c>
      <c r="L11" s="87">
        <f>0.37*0.195*0.254</f>
        <v>0.0183261</v>
      </c>
      <c r="M11" s="86">
        <f t="shared" si="2"/>
        <v>0.21991320000000003</v>
      </c>
    </row>
    <row r="12" spans="1:13" s="47" customFormat="1" ht="12">
      <c r="A12" s="325" t="s">
        <v>26</v>
      </c>
      <c r="B12" s="76"/>
      <c r="C12" s="22">
        <v>0.1</v>
      </c>
      <c r="D12" s="34">
        <v>50</v>
      </c>
      <c r="E12" s="34">
        <v>30</v>
      </c>
      <c r="F12" s="49"/>
      <c r="G12" s="50" t="e">
        <f>'Бланк-заказ'!#REF!</f>
        <v>#REF!</v>
      </c>
      <c r="H12" s="51">
        <f t="shared" si="3"/>
        <v>5</v>
      </c>
      <c r="I12" s="52">
        <v>12.236</v>
      </c>
      <c r="J12" s="88" t="e">
        <f t="shared" si="0"/>
        <v>#REF!</v>
      </c>
      <c r="K12" s="54" t="e">
        <f t="shared" si="1"/>
        <v>#REF!</v>
      </c>
      <c r="L12" s="89">
        <f>0.48*0.249*0.182</f>
        <v>0.02175264</v>
      </c>
      <c r="M12" s="54" t="e">
        <f t="shared" si="2"/>
        <v>#REF!</v>
      </c>
    </row>
    <row r="13" spans="1:13" s="47" customFormat="1" ht="12">
      <c r="A13" s="326"/>
      <c r="B13" s="48"/>
      <c r="C13" s="23">
        <v>0.25</v>
      </c>
      <c r="D13" s="33">
        <v>25</v>
      </c>
      <c r="E13" s="33">
        <v>30</v>
      </c>
      <c r="F13" s="77"/>
      <c r="G13" s="50" t="e">
        <f>'Бланк-заказ'!#REF!</f>
        <v>#REF!</v>
      </c>
      <c r="H13" s="78">
        <f t="shared" si="3"/>
        <v>6.25</v>
      </c>
      <c r="I13" s="79">
        <v>13.739</v>
      </c>
      <c r="J13" s="53" t="e">
        <f t="shared" si="0"/>
        <v>#REF!</v>
      </c>
      <c r="K13" s="80" t="e">
        <f t="shared" si="1"/>
        <v>#REF!</v>
      </c>
      <c r="L13" s="81">
        <f>0.48*0.249*0.182</f>
        <v>0.02175264</v>
      </c>
      <c r="M13" s="80" t="e">
        <f t="shared" si="2"/>
        <v>#REF!</v>
      </c>
    </row>
    <row r="14" spans="1:13" s="47" customFormat="1" ht="12">
      <c r="A14" s="326"/>
      <c r="B14" s="48"/>
      <c r="C14" s="22">
        <v>0.5</v>
      </c>
      <c r="D14" s="34">
        <v>12</v>
      </c>
      <c r="E14" s="34">
        <v>40</v>
      </c>
      <c r="F14" s="49"/>
      <c r="G14" s="50">
        <f>'Бланк-заказ'!C59</f>
        <v>4</v>
      </c>
      <c r="H14" s="51">
        <f t="shared" si="3"/>
        <v>6</v>
      </c>
      <c r="I14" s="52">
        <v>12.266</v>
      </c>
      <c r="J14" s="53">
        <f t="shared" si="0"/>
        <v>2.4</v>
      </c>
      <c r="K14" s="54">
        <f t="shared" si="1"/>
        <v>49.064</v>
      </c>
      <c r="L14" s="89">
        <f>0.27*0.203*0.347</f>
        <v>0.01901907</v>
      </c>
      <c r="M14" s="54">
        <f t="shared" si="2"/>
        <v>0.07607628</v>
      </c>
    </row>
    <row r="15" spans="1:13" s="47" customFormat="1" ht="12">
      <c r="A15" s="326"/>
      <c r="B15" s="90"/>
      <c r="C15" s="22">
        <v>0.75</v>
      </c>
      <c r="D15" s="34">
        <v>12</v>
      </c>
      <c r="E15" s="34">
        <v>40</v>
      </c>
      <c r="F15" s="49"/>
      <c r="G15" s="50">
        <f>'Бланк-заказ'!C60</f>
        <v>12</v>
      </c>
      <c r="H15" s="51">
        <f t="shared" si="3"/>
        <v>9</v>
      </c>
      <c r="I15" s="52">
        <v>14.414</v>
      </c>
      <c r="J15" s="53">
        <f t="shared" si="0"/>
        <v>10.8</v>
      </c>
      <c r="K15" s="54">
        <f t="shared" si="1"/>
        <v>172.968</v>
      </c>
      <c r="L15" s="81">
        <f>0.342*0.253*0.28</f>
        <v>0.024227280000000004</v>
      </c>
      <c r="M15" s="54">
        <f t="shared" si="2"/>
        <v>0.29072736000000005</v>
      </c>
    </row>
    <row r="16" spans="1:13" s="56" customFormat="1" ht="12.75" thickBot="1">
      <c r="A16" s="327"/>
      <c r="B16" s="74"/>
      <c r="C16" s="30">
        <v>1</v>
      </c>
      <c r="D16" s="36">
        <v>12</v>
      </c>
      <c r="E16" s="36">
        <v>40</v>
      </c>
      <c r="F16" s="58"/>
      <c r="G16" s="114">
        <f>'Бланк-заказ'!C378</f>
        <v>12</v>
      </c>
      <c r="H16" s="60">
        <f t="shared" si="3"/>
        <v>12</v>
      </c>
      <c r="I16" s="61">
        <v>19.597</v>
      </c>
      <c r="J16" s="62">
        <f t="shared" si="0"/>
        <v>14.4</v>
      </c>
      <c r="K16" s="63">
        <f t="shared" si="1"/>
        <v>235.16400000000002</v>
      </c>
      <c r="L16" s="64">
        <f>0.376*0.282*0.312</f>
        <v>0.033081983999999995</v>
      </c>
      <c r="M16" s="63">
        <f t="shared" si="2"/>
        <v>0.39698380799999994</v>
      </c>
    </row>
    <row r="17" spans="1:13" s="56" customFormat="1" ht="12">
      <c r="A17" s="325" t="s">
        <v>27</v>
      </c>
      <c r="B17" s="91"/>
      <c r="C17" s="27">
        <v>0.75</v>
      </c>
      <c r="D17" s="38">
        <v>12</v>
      </c>
      <c r="E17" s="38"/>
      <c r="F17" s="92"/>
      <c r="G17" s="50">
        <f>'Бланк-заказ'!C78</f>
        <v>12</v>
      </c>
      <c r="H17" s="93">
        <f t="shared" si="3"/>
        <v>9</v>
      </c>
      <c r="I17" s="94">
        <v>19.5</v>
      </c>
      <c r="J17" s="88">
        <f t="shared" si="0"/>
        <v>10.8</v>
      </c>
      <c r="K17" s="75">
        <f t="shared" si="1"/>
        <v>234</v>
      </c>
      <c r="L17" s="55">
        <f>0.321*0.35*0.262</f>
        <v>0.0294357</v>
      </c>
      <c r="M17" s="75">
        <f t="shared" si="2"/>
        <v>0.3532284</v>
      </c>
    </row>
    <row r="18" spans="1:13" s="96" customFormat="1" ht="12">
      <c r="A18" s="326"/>
      <c r="B18" s="95"/>
      <c r="C18" s="101">
        <v>1.5</v>
      </c>
      <c r="D18" s="102">
        <v>6</v>
      </c>
      <c r="E18" s="102"/>
      <c r="F18" s="103"/>
      <c r="G18" s="50">
        <f>'Бланк-заказ'!C79</f>
        <v>12</v>
      </c>
      <c r="H18" s="104">
        <f t="shared" si="3"/>
        <v>9</v>
      </c>
      <c r="I18" s="105">
        <v>17.5</v>
      </c>
      <c r="J18" s="106">
        <f t="shared" si="0"/>
        <v>10.8</v>
      </c>
      <c r="K18" s="107">
        <f t="shared" si="1"/>
        <v>210</v>
      </c>
      <c r="L18" s="108">
        <f>0.321*0.35*0.262</f>
        <v>0.0294357</v>
      </c>
      <c r="M18" s="107">
        <f t="shared" si="2"/>
        <v>0.3532284</v>
      </c>
    </row>
    <row r="19" spans="1:13" s="96" customFormat="1" ht="10.5" customHeight="1" thickBot="1">
      <c r="A19" s="326"/>
      <c r="B19" s="97"/>
      <c r="C19" s="109">
        <v>3</v>
      </c>
      <c r="D19" s="110">
        <v>1</v>
      </c>
      <c r="E19" s="98"/>
      <c r="F19" s="99"/>
      <c r="G19" s="50" t="e">
        <f>'Бланк-заказ'!#REF!</f>
        <v>#REF!</v>
      </c>
      <c r="H19" s="111">
        <f>C19*D19</f>
        <v>3</v>
      </c>
      <c r="I19" s="112">
        <v>4.4</v>
      </c>
      <c r="J19" s="53" t="e">
        <f t="shared" si="0"/>
        <v>#REF!</v>
      </c>
      <c r="K19" s="113" t="e">
        <f>I19*G19</f>
        <v>#REF!</v>
      </c>
      <c r="L19" s="108">
        <v>0.0098119</v>
      </c>
      <c r="M19" s="113" t="e">
        <f>L19*G19</f>
        <v>#REF!</v>
      </c>
    </row>
    <row r="20" spans="1:13" s="56" customFormat="1" ht="12.75" thickBot="1">
      <c r="A20" s="100" t="s">
        <v>29</v>
      </c>
      <c r="B20" s="66"/>
      <c r="C20" s="31">
        <v>0.7</v>
      </c>
      <c r="D20" s="37">
        <v>12</v>
      </c>
      <c r="E20" s="37"/>
      <c r="F20" s="67"/>
      <c r="G20" s="115">
        <f>'Бланк-заказ'!C335</f>
        <v>12</v>
      </c>
      <c r="H20" s="69">
        <f>C20*D20</f>
        <v>8.399999999999999</v>
      </c>
      <c r="I20" s="70">
        <v>15.148</v>
      </c>
      <c r="J20" s="71">
        <f t="shared" si="0"/>
        <v>10.079999999999998</v>
      </c>
      <c r="K20" s="72">
        <f>I20*G20</f>
        <v>181.776</v>
      </c>
      <c r="L20" s="73">
        <f>0.342*0.253*0.306</f>
        <v>0.026476956000000003</v>
      </c>
      <c r="M20" s="72">
        <f>L20*G20</f>
        <v>0.31772347200000006</v>
      </c>
    </row>
    <row r="21" spans="1:13" ht="12" thickBot="1">
      <c r="A21" s="18"/>
      <c r="B21" s="8" t="s">
        <v>1</v>
      </c>
      <c r="C21" s="21"/>
      <c r="F21" s="137">
        <f>SUM(F3:F20)</f>
        <v>0</v>
      </c>
      <c r="G21" s="137" t="e">
        <f>SUM(G3:G20)</f>
        <v>#REF!</v>
      </c>
      <c r="H21" s="135"/>
      <c r="I21" s="136"/>
      <c r="J21" s="138" t="e">
        <f>SUM(J3:J20)</f>
        <v>#REF!</v>
      </c>
      <c r="K21" s="138" t="e">
        <f>SUM(K3:K20)</f>
        <v>#REF!</v>
      </c>
      <c r="L21" s="9" t="s">
        <v>22</v>
      </c>
      <c r="M21" s="138" t="e">
        <f>SUM(M3:M20)</f>
        <v>#REF!</v>
      </c>
    </row>
    <row r="22" spans="1:3" ht="11.25">
      <c r="A22" s="19"/>
      <c r="B22" s="8" t="s">
        <v>0</v>
      </c>
      <c r="C22" s="21"/>
    </row>
    <row r="23" spans="1:3" ht="12" thickBot="1">
      <c r="A23" s="20"/>
      <c r="B23" s="8" t="s">
        <v>2</v>
      </c>
      <c r="C23" s="21"/>
    </row>
    <row r="24" spans="4:13" ht="34.5" customHeight="1" thickBot="1">
      <c r="D24" s="4"/>
      <c r="K24" s="319" t="s">
        <v>74</v>
      </c>
      <c r="L24" s="320"/>
      <c r="M24" s="321"/>
    </row>
    <row r="25" ht="12" customHeight="1" thickBot="1"/>
    <row r="26" spans="1:13" ht="12.75">
      <c r="A26" s="121" t="s">
        <v>7</v>
      </c>
      <c r="B26" s="122"/>
      <c r="C26" s="123"/>
      <c r="D26" s="124"/>
      <c r="E26" s="116"/>
      <c r="F26" s="117"/>
      <c r="G26" s="117"/>
      <c r="H26" s="118"/>
      <c r="I26" s="119"/>
      <c r="J26" s="322">
        <v>26.6</v>
      </c>
      <c r="K26" s="311" t="e">
        <f>M21</f>
        <v>#REF!</v>
      </c>
      <c r="L26" s="311"/>
      <c r="M26" s="312"/>
    </row>
    <row r="27" spans="1:13" ht="13.5" thickBot="1">
      <c r="A27" s="131" t="s">
        <v>10</v>
      </c>
      <c r="B27" s="116"/>
      <c r="C27" s="120" t="s">
        <v>69</v>
      </c>
      <c r="D27" s="132"/>
      <c r="E27" s="134" t="s">
        <v>66</v>
      </c>
      <c r="F27" s="126"/>
      <c r="G27" s="128"/>
      <c r="H27" s="128"/>
      <c r="I27" s="129"/>
      <c r="J27" s="323"/>
      <c r="K27" s="313"/>
      <c r="L27" s="313"/>
      <c r="M27" s="314"/>
    </row>
    <row r="28" spans="1:13" ht="12.75">
      <c r="A28" s="121" t="s">
        <v>8</v>
      </c>
      <c r="B28" s="123"/>
      <c r="C28" s="133"/>
      <c r="D28" s="124"/>
      <c r="E28" s="116"/>
      <c r="F28" s="116"/>
      <c r="G28" s="117"/>
      <c r="H28" s="4"/>
      <c r="J28" s="322">
        <v>28.7</v>
      </c>
      <c r="K28" s="313"/>
      <c r="L28" s="313"/>
      <c r="M28" s="314"/>
    </row>
    <row r="29" spans="1:13" ht="13.5" thickBot="1">
      <c r="A29" s="131" t="s">
        <v>11</v>
      </c>
      <c r="B29" s="116"/>
      <c r="C29" s="120" t="s">
        <v>70</v>
      </c>
      <c r="D29" s="132"/>
      <c r="E29" s="134" t="s">
        <v>66</v>
      </c>
      <c r="F29" s="126"/>
      <c r="G29" s="128"/>
      <c r="H29" s="128"/>
      <c r="I29" s="129"/>
      <c r="J29" s="323"/>
      <c r="K29" s="313"/>
      <c r="L29" s="313"/>
      <c r="M29" s="314"/>
    </row>
    <row r="30" spans="1:13" ht="12.75">
      <c r="A30" s="121" t="s">
        <v>9</v>
      </c>
      <c r="B30" s="123"/>
      <c r="C30" s="133"/>
      <c r="D30" s="124"/>
      <c r="E30" s="116"/>
      <c r="F30" s="116"/>
      <c r="G30" s="117"/>
      <c r="H30" s="4"/>
      <c r="J30" s="322">
        <v>55.4</v>
      </c>
      <c r="K30" s="313"/>
      <c r="L30" s="313"/>
      <c r="M30" s="314"/>
    </row>
    <row r="31" spans="1:13" ht="13.5" thickBot="1">
      <c r="A31" s="125" t="s">
        <v>12</v>
      </c>
      <c r="B31" s="126"/>
      <c r="C31" s="127" t="s">
        <v>71</v>
      </c>
      <c r="D31" s="130"/>
      <c r="E31" s="134" t="s">
        <v>67</v>
      </c>
      <c r="F31" s="126"/>
      <c r="G31" s="128"/>
      <c r="H31" s="128"/>
      <c r="I31" s="129"/>
      <c r="J31" s="324"/>
      <c r="K31" s="313"/>
      <c r="L31" s="313"/>
      <c r="M31" s="314"/>
    </row>
    <row r="32" spans="1:13" ht="12.75">
      <c r="A32" s="121" t="s">
        <v>18</v>
      </c>
      <c r="B32" s="123"/>
      <c r="C32" s="133"/>
      <c r="D32" s="124"/>
      <c r="E32" s="116"/>
      <c r="F32" s="116"/>
      <c r="G32" s="117"/>
      <c r="H32" s="4"/>
      <c r="K32" s="315"/>
      <c r="L32" s="313"/>
      <c r="M32" s="314"/>
    </row>
    <row r="33" spans="1:13" ht="13.5" thickBot="1">
      <c r="A33" s="125" t="s">
        <v>20</v>
      </c>
      <c r="B33" s="126"/>
      <c r="C33" s="127" t="s">
        <v>72</v>
      </c>
      <c r="D33" s="130"/>
      <c r="E33" s="116"/>
      <c r="F33" s="2"/>
      <c r="H33" s="4"/>
      <c r="K33" s="315"/>
      <c r="L33" s="313"/>
      <c r="M33" s="314"/>
    </row>
    <row r="34" spans="1:13" ht="12.75">
      <c r="A34" s="121" t="s">
        <v>19</v>
      </c>
      <c r="B34" s="123"/>
      <c r="C34" s="133"/>
      <c r="D34" s="124"/>
      <c r="E34" s="116"/>
      <c r="F34" s="2"/>
      <c r="H34" s="4"/>
      <c r="K34" s="315"/>
      <c r="L34" s="313"/>
      <c r="M34" s="314"/>
    </row>
    <row r="35" spans="1:13" ht="13.5" thickBot="1">
      <c r="A35" s="125" t="s">
        <v>21</v>
      </c>
      <c r="B35" s="126"/>
      <c r="C35" s="127" t="s">
        <v>73</v>
      </c>
      <c r="D35" s="130"/>
      <c r="E35" s="116"/>
      <c r="F35" s="2"/>
      <c r="H35" s="4"/>
      <c r="K35" s="316"/>
      <c r="L35" s="317"/>
      <c r="M35" s="318"/>
    </row>
    <row r="36" ht="12.75">
      <c r="A36" s="25"/>
    </row>
    <row r="37" ht="11.25">
      <c r="A37" s="11" t="s">
        <v>68</v>
      </c>
    </row>
    <row r="38" ht="12.75">
      <c r="A38" s="24"/>
    </row>
    <row r="39" spans="1:3" ht="18">
      <c r="A39" s="24"/>
      <c r="B39" s="150" t="s">
        <v>76</v>
      </c>
      <c r="C39" s="151" t="s">
        <v>77</v>
      </c>
    </row>
  </sheetData>
  <sheetProtection sheet="1" objects="1" scenarios="1"/>
  <mergeCells count="9">
    <mergeCell ref="A3:A5"/>
    <mergeCell ref="A7:A11"/>
    <mergeCell ref="A12:A16"/>
    <mergeCell ref="A17:A19"/>
    <mergeCell ref="K26:M35"/>
    <mergeCell ref="K24:M24"/>
    <mergeCell ref="J26:J27"/>
    <mergeCell ref="J28:J29"/>
    <mergeCell ref="J30:J3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7"/>
  <sheetViews>
    <sheetView tabSelected="1" zoomScale="70" zoomScaleNormal="70" zoomScalePageLayoutView="0" workbookViewId="0" topLeftCell="A1">
      <pane xSplit="1" ySplit="17" topLeftCell="B22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8" sqref="A8"/>
    </sheetView>
  </sheetViews>
  <sheetFormatPr defaultColWidth="9.140625" defaultRowHeight="12" outlineLevelCol="1"/>
  <cols>
    <col min="1" max="1" width="83.28125" style="153" customWidth="1"/>
    <col min="2" max="2" width="14.8515625" style="154" customWidth="1"/>
    <col min="3" max="3" width="12.00390625" style="153" customWidth="1"/>
    <col min="4" max="4" width="11.8515625" style="153" customWidth="1"/>
    <col min="5" max="5" width="19.00390625" style="162" customWidth="1"/>
    <col min="6" max="6" width="19.421875" style="163" bestFit="1" customWidth="1"/>
    <col min="7" max="7" width="12.28125" style="153" customWidth="1"/>
    <col min="8" max="8" width="13.00390625" style="153" customWidth="1"/>
    <col min="9" max="9" width="15.140625" style="153" customWidth="1"/>
    <col min="10" max="10" width="12.28125" style="153" customWidth="1"/>
    <col min="11" max="11" width="9.28125" style="152" customWidth="1" outlineLevel="1"/>
    <col min="12" max="12" width="8.8515625" style="153" customWidth="1"/>
    <col min="13" max="16384" width="9.28125" style="153" customWidth="1"/>
  </cols>
  <sheetData>
    <row r="1" spans="1:10" ht="24" customHeight="1" thickTop="1">
      <c r="A1" s="343" t="s">
        <v>100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 customHeight="1">
      <c r="A2" s="346"/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 customHeight="1">
      <c r="A3" s="346"/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 customHeight="1">
      <c r="A4" s="346"/>
      <c r="B4" s="347"/>
      <c r="C4" s="347"/>
      <c r="D4" s="347"/>
      <c r="E4" s="347"/>
      <c r="F4" s="347"/>
      <c r="G4" s="347"/>
      <c r="H4" s="347"/>
      <c r="I4" s="347"/>
      <c r="J4" s="348"/>
    </row>
    <row r="5" spans="1:10" ht="12.75" customHeight="1" thickBot="1">
      <c r="A5" s="349"/>
      <c r="B5" s="350"/>
      <c r="C5" s="350"/>
      <c r="D5" s="350"/>
      <c r="E5" s="350"/>
      <c r="F5" s="350"/>
      <c r="G5" s="350"/>
      <c r="H5" s="350"/>
      <c r="I5" s="350"/>
      <c r="J5" s="351"/>
    </row>
    <row r="6" spans="1:10" ht="19.5" thickBot="1" thickTop="1">
      <c r="A6" s="272"/>
      <c r="E6" s="153"/>
      <c r="F6" s="153"/>
      <c r="J6" s="155"/>
    </row>
    <row r="7" spans="1:10" ht="18.75" thickBot="1">
      <c r="A7" s="156" t="s">
        <v>307</v>
      </c>
      <c r="B7" s="354"/>
      <c r="C7" s="355"/>
      <c r="D7" s="157"/>
      <c r="E7" s="157" t="s">
        <v>308</v>
      </c>
      <c r="F7" s="356"/>
      <c r="G7" s="357"/>
      <c r="H7" s="157"/>
      <c r="I7" s="157"/>
      <c r="J7" s="157"/>
    </row>
    <row r="8" spans="2:10" ht="37.5" customHeight="1" thickBot="1">
      <c r="B8" s="352" t="s">
        <v>101</v>
      </c>
      <c r="C8" s="352"/>
      <c r="D8" s="352"/>
      <c r="E8" s="352"/>
      <c r="F8" s="352"/>
      <c r="G8" s="352"/>
      <c r="H8" s="352"/>
      <c r="I8" s="352"/>
      <c r="J8" s="352"/>
    </row>
    <row r="9" spans="1:10" ht="18.75" thickBot="1">
      <c r="A9" s="156" t="s">
        <v>309</v>
      </c>
      <c r="B9" s="358"/>
      <c r="C9" s="358"/>
      <c r="D9" s="358"/>
      <c r="E9" s="358"/>
      <c r="F9" s="158"/>
      <c r="G9" s="341" t="s">
        <v>186</v>
      </c>
      <c r="H9" s="342"/>
      <c r="I9" s="342"/>
      <c r="J9" s="273"/>
    </row>
    <row r="10" spans="1:10" ht="19.5" thickBot="1">
      <c r="A10" s="156" t="s">
        <v>203</v>
      </c>
      <c r="B10" s="359"/>
      <c r="C10" s="359"/>
      <c r="D10" s="359"/>
      <c r="E10" s="359"/>
      <c r="F10" s="157"/>
      <c r="G10" s="341" t="s">
        <v>190</v>
      </c>
      <c r="H10" s="342"/>
      <c r="I10" s="342"/>
      <c r="J10" s="273"/>
    </row>
    <row r="11" spans="1:10" ht="18.75" thickBot="1">
      <c r="A11" s="156" t="s">
        <v>310</v>
      </c>
      <c r="B11" s="360"/>
      <c r="C11" s="361"/>
      <c r="D11" s="361"/>
      <c r="E11" s="362"/>
      <c r="F11" s="159"/>
      <c r="G11" s="341" t="s">
        <v>191</v>
      </c>
      <c r="H11" s="342"/>
      <c r="I11" s="342"/>
      <c r="J11" s="273"/>
    </row>
    <row r="12" spans="1:10" ht="18.75" thickBot="1">
      <c r="A12" s="156" t="s">
        <v>311</v>
      </c>
      <c r="B12" s="335"/>
      <c r="C12" s="336"/>
      <c r="D12" s="336"/>
      <c r="E12" s="337"/>
      <c r="F12" s="159"/>
      <c r="G12" s="341" t="s">
        <v>192</v>
      </c>
      <c r="H12" s="342"/>
      <c r="I12" s="342"/>
      <c r="J12" s="273"/>
    </row>
    <row r="13" spans="1:10" ht="18">
      <c r="A13" s="156"/>
      <c r="B13" s="338"/>
      <c r="C13" s="339"/>
      <c r="D13" s="339"/>
      <c r="E13" s="340"/>
      <c r="F13" s="159"/>
      <c r="G13" s="160"/>
      <c r="H13" s="160"/>
      <c r="I13" s="160"/>
      <c r="J13" s="160"/>
    </row>
    <row r="14" ht="18">
      <c r="A14" s="161"/>
    </row>
    <row r="15" spans="1:11" ht="11.25" customHeight="1">
      <c r="A15" s="374" t="s">
        <v>30</v>
      </c>
      <c r="B15" s="333" t="s">
        <v>31</v>
      </c>
      <c r="C15" s="333" t="s">
        <v>32</v>
      </c>
      <c r="D15" s="365" t="s">
        <v>33</v>
      </c>
      <c r="E15" s="353" t="s">
        <v>338</v>
      </c>
      <c r="F15" s="334" t="s">
        <v>34</v>
      </c>
      <c r="G15" s="333" t="s">
        <v>35</v>
      </c>
      <c r="H15" s="333" t="s">
        <v>36</v>
      </c>
      <c r="I15" s="333" t="s">
        <v>37</v>
      </c>
      <c r="J15" s="333" t="s">
        <v>38</v>
      </c>
      <c r="K15" s="152" t="s">
        <v>304</v>
      </c>
    </row>
    <row r="16" spans="1:10" ht="20.25" customHeight="1">
      <c r="A16" s="374"/>
      <c r="B16" s="333"/>
      <c r="C16" s="333"/>
      <c r="D16" s="365"/>
      <c r="E16" s="353"/>
      <c r="F16" s="334"/>
      <c r="G16" s="333"/>
      <c r="H16" s="333"/>
      <c r="I16" s="333"/>
      <c r="J16" s="333"/>
    </row>
    <row r="17" spans="1:10" ht="18.75" customHeight="1">
      <c r="A17" s="374"/>
      <c r="B17" s="333"/>
      <c r="C17" s="333"/>
      <c r="D17" s="365"/>
      <c r="E17" s="353"/>
      <c r="F17" s="334"/>
      <c r="G17" s="333"/>
      <c r="H17" s="333"/>
      <c r="I17" s="333"/>
      <c r="J17" s="333"/>
    </row>
    <row r="18" spans="1:11" s="168" customFormat="1" ht="20.25">
      <c r="A18" s="164" t="s">
        <v>263</v>
      </c>
      <c r="B18" s="290"/>
      <c r="C18" s="165"/>
      <c r="D18" s="165"/>
      <c r="E18" s="165"/>
      <c r="F18" s="166"/>
      <c r="G18" s="165"/>
      <c r="H18" s="165"/>
      <c r="I18" s="165"/>
      <c r="J18" s="167"/>
      <c r="K18" s="152" t="s">
        <v>294</v>
      </c>
    </row>
    <row r="19" spans="1:11" s="173" customFormat="1" ht="18.75">
      <c r="A19" s="169" t="s">
        <v>293</v>
      </c>
      <c r="B19" s="282"/>
      <c r="C19" s="169"/>
      <c r="D19" s="169"/>
      <c r="E19" s="170"/>
      <c r="F19" s="171"/>
      <c r="G19" s="172"/>
      <c r="H19" s="172"/>
      <c r="I19" s="172"/>
      <c r="J19" s="172"/>
      <c r="K19" s="152" t="s">
        <v>294</v>
      </c>
    </row>
    <row r="20" spans="1:11" s="178" customFormat="1" ht="20.25" customHeight="1">
      <c r="A20" s="174" t="s">
        <v>283</v>
      </c>
      <c r="B20" s="274"/>
      <c r="C20" s="175"/>
      <c r="D20" s="175"/>
      <c r="E20" s="175"/>
      <c r="F20" s="176"/>
      <c r="G20" s="177"/>
      <c r="H20" s="175"/>
      <c r="I20" s="175"/>
      <c r="J20" s="175"/>
      <c r="K20" s="152" t="s">
        <v>294</v>
      </c>
    </row>
    <row r="21" spans="1:11" s="178" customFormat="1" ht="18.75" customHeight="1">
      <c r="A21" s="179" t="s">
        <v>284</v>
      </c>
      <c r="B21" s="274"/>
      <c r="C21" s="175"/>
      <c r="D21" s="175"/>
      <c r="E21" s="175"/>
      <c r="F21" s="176"/>
      <c r="G21" s="177"/>
      <c r="H21" s="175"/>
      <c r="I21" s="175"/>
      <c r="J21" s="175"/>
      <c r="K21" s="152" t="s">
        <v>294</v>
      </c>
    </row>
    <row r="22" spans="1:11" s="178" customFormat="1" ht="26.25">
      <c r="A22" s="180" t="s">
        <v>285</v>
      </c>
      <c r="B22" s="274"/>
      <c r="C22" s="175"/>
      <c r="D22" s="175"/>
      <c r="E22" s="175"/>
      <c r="F22" s="176"/>
      <c r="G22" s="177"/>
      <c r="H22" s="175"/>
      <c r="I22" s="175"/>
      <c r="J22" s="175"/>
      <c r="K22" s="152" t="s">
        <v>294</v>
      </c>
    </row>
    <row r="23" spans="1:11" s="178" customFormat="1" ht="15.75">
      <c r="A23" s="181" t="s">
        <v>286</v>
      </c>
      <c r="B23" s="274"/>
      <c r="C23" s="182">
        <v>6</v>
      </c>
      <c r="D23" s="182">
        <v>0.75</v>
      </c>
      <c r="E23" s="182">
        <v>190.8</v>
      </c>
      <c r="F23" s="183">
        <f ca="1">E23-(E23*INDIRECT(K23))</f>
        <v>190.8</v>
      </c>
      <c r="G23" s="184">
        <f>B23*C23</f>
        <v>0</v>
      </c>
      <c r="H23" s="184">
        <f>7.8*B23</f>
        <v>0</v>
      </c>
      <c r="I23" s="185">
        <f>G23*F23</f>
        <v>0</v>
      </c>
      <c r="J23" s="184">
        <f>(G23*D23)/10</f>
        <v>0</v>
      </c>
      <c r="K23" s="152" t="s">
        <v>294</v>
      </c>
    </row>
    <row r="24" spans="1:11" s="178" customFormat="1" ht="15.75">
      <c r="A24" s="181" t="s">
        <v>287</v>
      </c>
      <c r="B24" s="274"/>
      <c r="C24" s="182">
        <v>6</v>
      </c>
      <c r="D24" s="182">
        <v>0.75</v>
      </c>
      <c r="E24" s="182">
        <v>190.8</v>
      </c>
      <c r="F24" s="183">
        <f aca="true" ca="1" t="shared" si="0" ref="F24:F94">E24-(E24*INDIRECT(K24))</f>
        <v>190.8</v>
      </c>
      <c r="G24" s="184">
        <f>B24*C24</f>
        <v>0</v>
      </c>
      <c r="H24" s="184">
        <f>7.8*B24</f>
        <v>0</v>
      </c>
      <c r="I24" s="185">
        <f>G24*F24</f>
        <v>0</v>
      </c>
      <c r="J24" s="184">
        <f>(G24*D24)/10</f>
        <v>0</v>
      </c>
      <c r="K24" s="152" t="s">
        <v>294</v>
      </c>
    </row>
    <row r="25" spans="1:11" s="178" customFormat="1" ht="15.75">
      <c r="A25" s="179" t="s">
        <v>288</v>
      </c>
      <c r="B25" s="291"/>
      <c r="C25" s="179"/>
      <c r="D25" s="179"/>
      <c r="E25" s="179"/>
      <c r="F25" s="186">
        <f ca="1" t="shared" si="0"/>
        <v>0</v>
      </c>
      <c r="G25" s="187"/>
      <c r="H25" s="187"/>
      <c r="I25" s="187"/>
      <c r="J25" s="187"/>
      <c r="K25" s="152" t="s">
        <v>294</v>
      </c>
    </row>
    <row r="26" spans="1:11" s="178" customFormat="1" ht="15.75">
      <c r="A26" s="180" t="s">
        <v>289</v>
      </c>
      <c r="B26" s="274"/>
      <c r="C26" s="187"/>
      <c r="D26" s="187"/>
      <c r="E26" s="187"/>
      <c r="F26" s="186">
        <f ca="1" t="shared" si="0"/>
        <v>0</v>
      </c>
      <c r="G26" s="187"/>
      <c r="H26" s="187"/>
      <c r="I26" s="187"/>
      <c r="J26" s="187"/>
      <c r="K26" s="152" t="s">
        <v>294</v>
      </c>
    </row>
    <row r="27" spans="1:11" s="178" customFormat="1" ht="31.5">
      <c r="A27" s="181" t="s">
        <v>290</v>
      </c>
      <c r="B27" s="274"/>
      <c r="C27" s="182">
        <v>6</v>
      </c>
      <c r="D27" s="182">
        <v>0.75</v>
      </c>
      <c r="E27" s="188">
        <v>190.8</v>
      </c>
      <c r="F27" s="183">
        <f ca="1" t="shared" si="0"/>
        <v>190.8</v>
      </c>
      <c r="G27" s="184">
        <f>B27*C27</f>
        <v>0</v>
      </c>
      <c r="H27" s="184">
        <f>7.8*B27</f>
        <v>0</v>
      </c>
      <c r="I27" s="185">
        <f>G27*F27</f>
        <v>0</v>
      </c>
      <c r="J27" s="184">
        <f>(G27*D27)/10</f>
        <v>0</v>
      </c>
      <c r="K27" s="152" t="s">
        <v>294</v>
      </c>
    </row>
    <row r="28" spans="1:11" s="178" customFormat="1" ht="21" customHeight="1">
      <c r="A28" s="181" t="s">
        <v>291</v>
      </c>
      <c r="B28" s="274"/>
      <c r="C28" s="182">
        <v>6</v>
      </c>
      <c r="D28" s="182">
        <v>0.75</v>
      </c>
      <c r="E28" s="188">
        <v>190.8</v>
      </c>
      <c r="F28" s="183">
        <f ca="1" t="shared" si="0"/>
        <v>190.8</v>
      </c>
      <c r="G28" s="184">
        <f>B28*C28</f>
        <v>0</v>
      </c>
      <c r="H28" s="184">
        <f>7.8*B28</f>
        <v>0</v>
      </c>
      <c r="I28" s="185">
        <f>G28*F28</f>
        <v>0</v>
      </c>
      <c r="J28" s="184">
        <f>(G28*D28)/10</f>
        <v>0</v>
      </c>
      <c r="K28" s="152" t="s">
        <v>294</v>
      </c>
    </row>
    <row r="29" spans="1:11" s="178" customFormat="1" ht="18.75" customHeight="1">
      <c r="A29" s="179" t="s">
        <v>320</v>
      </c>
      <c r="B29" s="274"/>
      <c r="C29" s="175"/>
      <c r="D29" s="175"/>
      <c r="E29" s="175"/>
      <c r="F29" s="176"/>
      <c r="G29" s="177"/>
      <c r="H29" s="175"/>
      <c r="I29" s="175"/>
      <c r="J29" s="175"/>
      <c r="K29" s="152" t="s">
        <v>294</v>
      </c>
    </row>
    <row r="30" spans="1:11" s="178" customFormat="1" ht="26.25">
      <c r="A30" s="180" t="s">
        <v>321</v>
      </c>
      <c r="B30" s="274"/>
      <c r="C30" s="175"/>
      <c r="D30" s="175"/>
      <c r="E30" s="175"/>
      <c r="F30" s="176"/>
      <c r="G30" s="177"/>
      <c r="H30" s="175"/>
      <c r="I30" s="175"/>
      <c r="J30" s="175"/>
      <c r="K30" s="152" t="s">
        <v>294</v>
      </c>
    </row>
    <row r="31" spans="1:11" s="178" customFormat="1" ht="15.75">
      <c r="A31" s="181" t="s">
        <v>322</v>
      </c>
      <c r="B31" s="274"/>
      <c r="C31" s="182">
        <v>6</v>
      </c>
      <c r="D31" s="182">
        <v>0.75</v>
      </c>
      <c r="E31" s="182">
        <v>190.8</v>
      </c>
      <c r="F31" s="183">
        <f ca="1">E31-(E31*INDIRECT(K31))</f>
        <v>190.8</v>
      </c>
      <c r="G31" s="184">
        <f>B31*C31</f>
        <v>0</v>
      </c>
      <c r="H31" s="184">
        <f>7.8*B31</f>
        <v>0</v>
      </c>
      <c r="I31" s="185">
        <f>G31*F31</f>
        <v>0</v>
      </c>
      <c r="J31" s="184">
        <f>(G31*D31)/10</f>
        <v>0</v>
      </c>
      <c r="K31" s="152" t="s">
        <v>294</v>
      </c>
    </row>
    <row r="32" spans="1:11" s="178" customFormat="1" ht="15.75">
      <c r="A32" s="181" t="s">
        <v>323</v>
      </c>
      <c r="B32" s="274"/>
      <c r="C32" s="182">
        <v>6</v>
      </c>
      <c r="D32" s="182">
        <v>0.75</v>
      </c>
      <c r="E32" s="182">
        <v>190.8</v>
      </c>
      <c r="F32" s="183">
        <f ca="1">E32-(E32*INDIRECT(K32))</f>
        <v>190.8</v>
      </c>
      <c r="G32" s="184">
        <f>B32*C32</f>
        <v>0</v>
      </c>
      <c r="H32" s="184">
        <f>7.8*B32</f>
        <v>0</v>
      </c>
      <c r="I32" s="185">
        <f>G32*F32</f>
        <v>0</v>
      </c>
      <c r="J32" s="184">
        <f>(G32*D32)/10</f>
        <v>0</v>
      </c>
      <c r="K32" s="152" t="s">
        <v>294</v>
      </c>
    </row>
    <row r="33" spans="1:11" s="173" customFormat="1" ht="18.75">
      <c r="A33" s="169" t="s">
        <v>262</v>
      </c>
      <c r="B33" s="282"/>
      <c r="C33" s="169"/>
      <c r="D33" s="169"/>
      <c r="E33" s="170"/>
      <c r="F33" s="171">
        <f ca="1" t="shared" si="0"/>
        <v>0</v>
      </c>
      <c r="G33" s="172"/>
      <c r="H33" s="172"/>
      <c r="I33" s="172"/>
      <c r="J33" s="172"/>
      <c r="K33" s="152" t="s">
        <v>294</v>
      </c>
    </row>
    <row r="34" spans="1:11" s="189" customFormat="1" ht="15.75">
      <c r="A34" s="174" t="s">
        <v>292</v>
      </c>
      <c r="B34" s="274"/>
      <c r="C34" s="187"/>
      <c r="D34" s="187"/>
      <c r="E34" s="187"/>
      <c r="F34" s="186">
        <f ca="1" t="shared" si="0"/>
        <v>0</v>
      </c>
      <c r="G34" s="187"/>
      <c r="H34" s="187"/>
      <c r="I34" s="187"/>
      <c r="J34" s="187"/>
      <c r="K34" s="152" t="s">
        <v>294</v>
      </c>
    </row>
    <row r="35" spans="1:11" s="189" customFormat="1" ht="15">
      <c r="A35" s="190" t="s">
        <v>339</v>
      </c>
      <c r="B35" s="275"/>
      <c r="C35" s="191"/>
      <c r="D35" s="191"/>
      <c r="E35" s="191"/>
      <c r="F35" s="192">
        <f ca="1" t="shared" si="0"/>
        <v>0</v>
      </c>
      <c r="G35" s="191"/>
      <c r="H35" s="191"/>
      <c r="I35" s="191"/>
      <c r="J35" s="193"/>
      <c r="K35" s="152" t="s">
        <v>294</v>
      </c>
    </row>
    <row r="36" spans="1:11" s="189" customFormat="1" ht="15.75">
      <c r="A36" s="187" t="s">
        <v>133</v>
      </c>
      <c r="B36" s="276"/>
      <c r="C36" s="182">
        <v>6</v>
      </c>
      <c r="D36" s="182">
        <v>0.75</v>
      </c>
      <c r="E36" s="188">
        <v>104.94</v>
      </c>
      <c r="F36" s="183">
        <f ca="1" t="shared" si="0"/>
        <v>104.94</v>
      </c>
      <c r="G36" s="184">
        <f>B36*C36</f>
        <v>0</v>
      </c>
      <c r="H36" s="184">
        <f>7.8*B36</f>
        <v>0</v>
      </c>
      <c r="I36" s="185">
        <f>G36*F36</f>
        <v>0</v>
      </c>
      <c r="J36" s="184">
        <f>(G36*D36)/10</f>
        <v>0</v>
      </c>
      <c r="K36" s="152" t="s">
        <v>294</v>
      </c>
    </row>
    <row r="37" spans="1:11" s="189" customFormat="1" ht="15.75">
      <c r="A37" s="187" t="s">
        <v>97</v>
      </c>
      <c r="B37" s="276"/>
      <c r="C37" s="182">
        <v>6</v>
      </c>
      <c r="D37" s="182">
        <v>0.75</v>
      </c>
      <c r="E37" s="188">
        <v>104.94</v>
      </c>
      <c r="F37" s="183">
        <f ca="1" t="shared" si="0"/>
        <v>104.94</v>
      </c>
      <c r="G37" s="184">
        <f>B37*C37</f>
        <v>0</v>
      </c>
      <c r="H37" s="184">
        <f>7.8*B37</f>
        <v>0</v>
      </c>
      <c r="I37" s="185">
        <f>G37*F37</f>
        <v>0</v>
      </c>
      <c r="J37" s="184">
        <f>(G37*D37)/10</f>
        <v>0</v>
      </c>
      <c r="K37" s="152" t="s">
        <v>294</v>
      </c>
    </row>
    <row r="38" spans="1:11" s="189" customFormat="1" ht="15">
      <c r="A38" s="190" t="s">
        <v>340</v>
      </c>
      <c r="B38" s="275"/>
      <c r="C38" s="191"/>
      <c r="D38" s="191"/>
      <c r="E38" s="191"/>
      <c r="F38" s="192">
        <f ca="1">E38-(E38*INDIRECT(K38))</f>
        <v>0</v>
      </c>
      <c r="G38" s="191"/>
      <c r="H38" s="191"/>
      <c r="I38" s="191"/>
      <c r="J38" s="193"/>
      <c r="K38" s="152" t="s">
        <v>294</v>
      </c>
    </row>
    <row r="39" spans="1:11" s="189" customFormat="1" ht="15.75">
      <c r="A39" s="187" t="s">
        <v>312</v>
      </c>
      <c r="B39" s="276"/>
      <c r="C39" s="182">
        <v>6</v>
      </c>
      <c r="D39" s="182">
        <v>0.75</v>
      </c>
      <c r="E39" s="188">
        <v>104.94</v>
      </c>
      <c r="F39" s="183">
        <f ca="1">E39-(E39*INDIRECT(K39))</f>
        <v>104.94</v>
      </c>
      <c r="G39" s="184">
        <f>B39*C39</f>
        <v>0</v>
      </c>
      <c r="H39" s="184">
        <f>7.8*B39</f>
        <v>0</v>
      </c>
      <c r="I39" s="185">
        <f>G39*F39</f>
        <v>0</v>
      </c>
      <c r="J39" s="184">
        <f>(G39*D39)/10</f>
        <v>0</v>
      </c>
      <c r="K39" s="152" t="s">
        <v>294</v>
      </c>
    </row>
    <row r="40" spans="1:11" s="189" customFormat="1" ht="15">
      <c r="A40" s="194" t="s">
        <v>341</v>
      </c>
      <c r="B40" s="277"/>
      <c r="C40" s="194"/>
      <c r="D40" s="194"/>
      <c r="E40" s="194"/>
      <c r="F40" s="195">
        <f ca="1" t="shared" si="0"/>
        <v>0</v>
      </c>
      <c r="G40" s="194"/>
      <c r="H40" s="194"/>
      <c r="I40" s="194"/>
      <c r="J40" s="194"/>
      <c r="K40" s="152" t="s">
        <v>294</v>
      </c>
    </row>
    <row r="41" spans="1:11" s="189" customFormat="1" ht="15.75">
      <c r="A41" s="196" t="s">
        <v>134</v>
      </c>
      <c r="B41" s="276"/>
      <c r="C41" s="182">
        <v>6</v>
      </c>
      <c r="D41" s="182">
        <v>0.75</v>
      </c>
      <c r="E41" s="188">
        <v>104.94</v>
      </c>
      <c r="F41" s="183">
        <f ca="1" t="shared" si="0"/>
        <v>104.94</v>
      </c>
      <c r="G41" s="184">
        <f>B41*C41</f>
        <v>0</v>
      </c>
      <c r="H41" s="184">
        <f>7.8*B41</f>
        <v>0</v>
      </c>
      <c r="I41" s="185">
        <f>G41*F41</f>
        <v>0</v>
      </c>
      <c r="J41" s="184">
        <f>(G41*D41)/10</f>
        <v>0</v>
      </c>
      <c r="K41" s="152" t="s">
        <v>294</v>
      </c>
    </row>
    <row r="42" spans="1:11" s="189" customFormat="1" ht="15.75">
      <c r="A42" s="196" t="s">
        <v>111</v>
      </c>
      <c r="B42" s="276"/>
      <c r="C42" s="182">
        <v>6</v>
      </c>
      <c r="D42" s="182">
        <v>0.75</v>
      </c>
      <c r="E42" s="188">
        <v>104.94</v>
      </c>
      <c r="F42" s="183">
        <f ca="1" t="shared" si="0"/>
        <v>104.94</v>
      </c>
      <c r="G42" s="184">
        <f>B42*C42</f>
        <v>0</v>
      </c>
      <c r="H42" s="184">
        <f>7.8*B42</f>
        <v>0</v>
      </c>
      <c r="I42" s="185">
        <f>G42*F42</f>
        <v>0</v>
      </c>
      <c r="J42" s="184">
        <f>(G42*D42)/10</f>
        <v>0</v>
      </c>
      <c r="K42" s="152" t="s">
        <v>294</v>
      </c>
    </row>
    <row r="43" spans="1:11" s="189" customFormat="1" ht="15">
      <c r="A43" s="194" t="s">
        <v>342</v>
      </c>
      <c r="B43" s="277"/>
      <c r="C43" s="194"/>
      <c r="D43" s="194"/>
      <c r="E43" s="194"/>
      <c r="F43" s="195">
        <f ca="1" t="shared" si="0"/>
        <v>0</v>
      </c>
      <c r="G43" s="194"/>
      <c r="H43" s="194"/>
      <c r="I43" s="194"/>
      <c r="J43" s="194"/>
      <c r="K43" s="152" t="s">
        <v>294</v>
      </c>
    </row>
    <row r="44" spans="1:11" s="189" customFormat="1" ht="15.75">
      <c r="A44" s="196" t="s">
        <v>135</v>
      </c>
      <c r="B44" s="276"/>
      <c r="C44" s="182">
        <v>6</v>
      </c>
      <c r="D44" s="182">
        <v>0.75</v>
      </c>
      <c r="E44" s="188">
        <v>104.94</v>
      </c>
      <c r="F44" s="183">
        <f ca="1" t="shared" si="0"/>
        <v>104.94</v>
      </c>
      <c r="G44" s="184">
        <f>B44*C44</f>
        <v>0</v>
      </c>
      <c r="H44" s="184">
        <f>7.8*B44</f>
        <v>0</v>
      </c>
      <c r="I44" s="185">
        <f>G44*F44</f>
        <v>0</v>
      </c>
      <c r="J44" s="184">
        <f>(G44*D44)/10</f>
        <v>0</v>
      </c>
      <c r="K44" s="152" t="s">
        <v>294</v>
      </c>
    </row>
    <row r="45" spans="1:11" s="189" customFormat="1" ht="15.75">
      <c r="A45" s="196" t="s">
        <v>112</v>
      </c>
      <c r="B45" s="276"/>
      <c r="C45" s="182">
        <v>6</v>
      </c>
      <c r="D45" s="182">
        <v>0.75</v>
      </c>
      <c r="E45" s="188">
        <v>104.94</v>
      </c>
      <c r="F45" s="183">
        <f ca="1" t="shared" si="0"/>
        <v>104.94</v>
      </c>
      <c r="G45" s="184">
        <f>B45*C45</f>
        <v>0</v>
      </c>
      <c r="H45" s="184">
        <f>7.8*B45</f>
        <v>0</v>
      </c>
      <c r="I45" s="185">
        <f>G45*F45</f>
        <v>0</v>
      </c>
      <c r="J45" s="184">
        <f>(G45*D45)/10</f>
        <v>0</v>
      </c>
      <c r="K45" s="152" t="s">
        <v>294</v>
      </c>
    </row>
    <row r="46" spans="1:11" s="189" customFormat="1" ht="15">
      <c r="A46" s="194" t="s">
        <v>343</v>
      </c>
      <c r="B46" s="277"/>
      <c r="C46" s="194"/>
      <c r="D46" s="194"/>
      <c r="E46" s="194"/>
      <c r="F46" s="195">
        <f ca="1">E46-(E46*INDIRECT(K46))</f>
        <v>0</v>
      </c>
      <c r="G46" s="194"/>
      <c r="H46" s="194"/>
      <c r="I46" s="194"/>
      <c r="J46" s="194"/>
      <c r="K46" s="152" t="s">
        <v>294</v>
      </c>
    </row>
    <row r="47" spans="1:11" s="189" customFormat="1" ht="15.75">
      <c r="A47" s="196" t="s">
        <v>344</v>
      </c>
      <c r="B47" s="276"/>
      <c r="C47" s="182">
        <v>6</v>
      </c>
      <c r="D47" s="182">
        <v>0.75</v>
      </c>
      <c r="E47" s="188">
        <v>104.94</v>
      </c>
      <c r="F47" s="183">
        <f ca="1">E47-(E47*INDIRECT(K47))</f>
        <v>104.94</v>
      </c>
      <c r="G47" s="184">
        <f>B47*C47</f>
        <v>0</v>
      </c>
      <c r="H47" s="184">
        <f>7.8*B47</f>
        <v>0</v>
      </c>
      <c r="I47" s="185">
        <f>G47*F47</f>
        <v>0</v>
      </c>
      <c r="J47" s="184">
        <f>(G47*D47)/10</f>
        <v>0</v>
      </c>
      <c r="K47" s="152" t="s">
        <v>294</v>
      </c>
    </row>
    <row r="48" spans="1:11" s="189" customFormat="1" ht="15.75">
      <c r="A48" s="196" t="s">
        <v>345</v>
      </c>
      <c r="B48" s="276"/>
      <c r="C48" s="182">
        <v>6</v>
      </c>
      <c r="D48" s="182">
        <v>0.75</v>
      </c>
      <c r="E48" s="188">
        <v>104.94</v>
      </c>
      <c r="F48" s="183">
        <f ca="1">E48-(E48*INDIRECT(K48))</f>
        <v>104.94</v>
      </c>
      <c r="G48" s="184">
        <f>B48*C48</f>
        <v>0</v>
      </c>
      <c r="H48" s="184">
        <f>7.8*B48</f>
        <v>0</v>
      </c>
      <c r="I48" s="185">
        <f>G48*F48</f>
        <v>0</v>
      </c>
      <c r="J48" s="184">
        <f>(G48*D48)/10</f>
        <v>0</v>
      </c>
      <c r="K48" s="152" t="s">
        <v>294</v>
      </c>
    </row>
    <row r="49" spans="1:11" s="189" customFormat="1" ht="15.75">
      <c r="A49" s="174" t="s">
        <v>104</v>
      </c>
      <c r="B49" s="274"/>
      <c r="C49" s="187"/>
      <c r="D49" s="187"/>
      <c r="E49" s="187"/>
      <c r="F49" s="186">
        <f ca="1" t="shared" si="0"/>
        <v>0</v>
      </c>
      <c r="G49" s="187"/>
      <c r="H49" s="187"/>
      <c r="I49" s="187"/>
      <c r="J49" s="187"/>
      <c r="K49" s="152" t="s">
        <v>294</v>
      </c>
    </row>
    <row r="50" spans="1:11" s="189" customFormat="1" ht="15.75">
      <c r="A50" s="196" t="s">
        <v>136</v>
      </c>
      <c r="B50" s="278"/>
      <c r="C50" s="197">
        <v>4</v>
      </c>
      <c r="D50" s="197">
        <v>3</v>
      </c>
      <c r="E50" s="198">
        <v>204.58</v>
      </c>
      <c r="F50" s="183">
        <f ca="1" t="shared" si="0"/>
        <v>204.58</v>
      </c>
      <c r="G50" s="184">
        <f aca="true" t="shared" si="1" ref="G50:G55">B50*C50</f>
        <v>0</v>
      </c>
      <c r="H50" s="184">
        <f>12.9*B50</f>
        <v>0</v>
      </c>
      <c r="I50" s="185">
        <f aca="true" t="shared" si="2" ref="I50:I55">G50*F50</f>
        <v>0</v>
      </c>
      <c r="J50" s="184">
        <f aca="true" t="shared" si="3" ref="J50:J55">(G50*D50)/10</f>
        <v>0</v>
      </c>
      <c r="K50" s="152" t="s">
        <v>294</v>
      </c>
    </row>
    <row r="51" spans="1:11" s="189" customFormat="1" ht="15.75">
      <c r="A51" s="196" t="s">
        <v>136</v>
      </c>
      <c r="B51" s="278"/>
      <c r="C51" s="197">
        <v>12</v>
      </c>
      <c r="D51" s="197">
        <v>0.7</v>
      </c>
      <c r="E51" s="198">
        <v>53.53</v>
      </c>
      <c r="F51" s="183">
        <f ca="1" t="shared" si="0"/>
        <v>53.53</v>
      </c>
      <c r="G51" s="184">
        <f t="shared" si="1"/>
        <v>0</v>
      </c>
      <c r="H51" s="184">
        <f>15.2*B51</f>
        <v>0</v>
      </c>
      <c r="I51" s="185">
        <f t="shared" si="2"/>
        <v>0</v>
      </c>
      <c r="J51" s="184">
        <f t="shared" si="3"/>
        <v>0</v>
      </c>
      <c r="K51" s="152" t="s">
        <v>294</v>
      </c>
    </row>
    <row r="52" spans="1:11" s="189" customFormat="1" ht="15.75">
      <c r="A52" s="196" t="s">
        <v>105</v>
      </c>
      <c r="B52" s="278"/>
      <c r="C52" s="197">
        <v>4</v>
      </c>
      <c r="D52" s="197">
        <v>3</v>
      </c>
      <c r="E52" s="198">
        <v>204.58</v>
      </c>
      <c r="F52" s="183">
        <f ca="1" t="shared" si="0"/>
        <v>204.58</v>
      </c>
      <c r="G52" s="184">
        <f t="shared" si="1"/>
        <v>0</v>
      </c>
      <c r="H52" s="184">
        <f>12.9*B52</f>
        <v>0</v>
      </c>
      <c r="I52" s="185">
        <f t="shared" si="2"/>
        <v>0</v>
      </c>
      <c r="J52" s="184">
        <f t="shared" si="3"/>
        <v>0</v>
      </c>
      <c r="K52" s="152" t="s">
        <v>294</v>
      </c>
    </row>
    <row r="53" spans="1:11" s="189" customFormat="1" ht="15.75">
      <c r="A53" s="196" t="s">
        <v>105</v>
      </c>
      <c r="B53" s="278"/>
      <c r="C53" s="197">
        <v>12</v>
      </c>
      <c r="D53" s="197">
        <v>0.7</v>
      </c>
      <c r="E53" s="198">
        <v>53.53</v>
      </c>
      <c r="F53" s="183">
        <f ca="1" t="shared" si="0"/>
        <v>53.53</v>
      </c>
      <c r="G53" s="184">
        <f t="shared" si="1"/>
        <v>0</v>
      </c>
      <c r="H53" s="184">
        <f>15.2*B53</f>
        <v>0</v>
      </c>
      <c r="I53" s="185">
        <f t="shared" si="2"/>
        <v>0</v>
      </c>
      <c r="J53" s="184">
        <f t="shared" si="3"/>
        <v>0</v>
      </c>
      <c r="K53" s="152" t="s">
        <v>294</v>
      </c>
    </row>
    <row r="54" spans="1:11" s="189" customFormat="1" ht="15.75">
      <c r="A54" s="196" t="s">
        <v>137</v>
      </c>
      <c r="B54" s="278"/>
      <c r="C54" s="197">
        <v>12</v>
      </c>
      <c r="D54" s="199">
        <v>0.7</v>
      </c>
      <c r="E54" s="198">
        <v>53.53</v>
      </c>
      <c r="F54" s="183">
        <f ca="1" t="shared" si="0"/>
        <v>53.53</v>
      </c>
      <c r="G54" s="184">
        <f t="shared" si="1"/>
        <v>0</v>
      </c>
      <c r="H54" s="184">
        <f>15.2*B54</f>
        <v>0</v>
      </c>
      <c r="I54" s="185">
        <f t="shared" si="2"/>
        <v>0</v>
      </c>
      <c r="J54" s="184">
        <f t="shared" si="3"/>
        <v>0</v>
      </c>
      <c r="K54" s="152" t="s">
        <v>294</v>
      </c>
    </row>
    <row r="55" spans="1:11" s="189" customFormat="1" ht="15.75">
      <c r="A55" s="196" t="s">
        <v>106</v>
      </c>
      <c r="B55" s="278"/>
      <c r="C55" s="197">
        <v>12</v>
      </c>
      <c r="D55" s="197">
        <v>0.7</v>
      </c>
      <c r="E55" s="198">
        <v>53.53</v>
      </c>
      <c r="F55" s="183">
        <f ca="1" t="shared" si="0"/>
        <v>53.53</v>
      </c>
      <c r="G55" s="184">
        <f t="shared" si="1"/>
        <v>0</v>
      </c>
      <c r="H55" s="184">
        <f>15.2*B55</f>
        <v>0</v>
      </c>
      <c r="I55" s="185">
        <f t="shared" si="2"/>
        <v>0</v>
      </c>
      <c r="J55" s="184">
        <f t="shared" si="3"/>
        <v>0</v>
      </c>
      <c r="K55" s="152" t="s">
        <v>294</v>
      </c>
    </row>
    <row r="56" spans="1:11" s="189" customFormat="1" ht="15.75">
      <c r="A56" s="174" t="s">
        <v>102</v>
      </c>
      <c r="B56" s="274"/>
      <c r="C56" s="187"/>
      <c r="D56" s="187"/>
      <c r="E56" s="187"/>
      <c r="F56" s="186">
        <f ca="1" t="shared" si="0"/>
        <v>0</v>
      </c>
      <c r="G56" s="187"/>
      <c r="H56" s="187"/>
      <c r="I56" s="187"/>
      <c r="J56" s="187"/>
      <c r="K56" s="152" t="s">
        <v>294</v>
      </c>
    </row>
    <row r="57" spans="1:11" s="189" customFormat="1" ht="15.75">
      <c r="A57" s="187" t="s">
        <v>156</v>
      </c>
      <c r="B57" s="276"/>
      <c r="C57" s="182">
        <v>4</v>
      </c>
      <c r="D57" s="182">
        <v>3</v>
      </c>
      <c r="E57" s="188">
        <v>253.34</v>
      </c>
      <c r="F57" s="183">
        <f ca="1" t="shared" si="0"/>
        <v>253.34</v>
      </c>
      <c r="G57" s="184">
        <f>B57*C57</f>
        <v>0</v>
      </c>
      <c r="H57" s="184">
        <f>12.9*B57</f>
        <v>0</v>
      </c>
      <c r="I57" s="185">
        <f>G57*F57</f>
        <v>0</v>
      </c>
      <c r="J57" s="184">
        <f>(G57*D57)/10</f>
        <v>0</v>
      </c>
      <c r="K57" s="152" t="s">
        <v>294</v>
      </c>
    </row>
    <row r="58" spans="1:11" s="189" customFormat="1" ht="15.75">
      <c r="A58" s="187" t="s">
        <v>156</v>
      </c>
      <c r="B58" s="276"/>
      <c r="C58" s="182">
        <v>12</v>
      </c>
      <c r="D58" s="182">
        <v>0.7</v>
      </c>
      <c r="E58" s="188">
        <v>72.61</v>
      </c>
      <c r="F58" s="183">
        <f ca="1" t="shared" si="0"/>
        <v>72.61</v>
      </c>
      <c r="G58" s="184">
        <f>B58*C58</f>
        <v>0</v>
      </c>
      <c r="H58" s="184">
        <f aca="true" t="shared" si="4" ref="H58:H67">15.2*B58</f>
        <v>0</v>
      </c>
      <c r="I58" s="185">
        <f>G58*F58</f>
        <v>0</v>
      </c>
      <c r="J58" s="184">
        <f>(G58*D58)/10</f>
        <v>0</v>
      </c>
      <c r="K58" s="152" t="s">
        <v>294</v>
      </c>
    </row>
    <row r="59" spans="1:11" s="189" customFormat="1" ht="15.75">
      <c r="A59" s="187" t="s">
        <v>157</v>
      </c>
      <c r="B59" s="276"/>
      <c r="C59" s="182">
        <v>4</v>
      </c>
      <c r="D59" s="182">
        <v>3</v>
      </c>
      <c r="E59" s="188">
        <v>253.34</v>
      </c>
      <c r="F59" s="183">
        <f ca="1" t="shared" si="0"/>
        <v>253.34</v>
      </c>
      <c r="G59" s="184">
        <f>B59*C59</f>
        <v>0</v>
      </c>
      <c r="H59" s="184">
        <f>12.9*B59</f>
        <v>0</v>
      </c>
      <c r="I59" s="185">
        <f>G59*F59</f>
        <v>0</v>
      </c>
      <c r="J59" s="184">
        <f>(G59*D59)/10</f>
        <v>0</v>
      </c>
      <c r="K59" s="152" t="s">
        <v>294</v>
      </c>
    </row>
    <row r="60" spans="1:11" s="189" customFormat="1" ht="15.75">
      <c r="A60" s="187" t="s">
        <v>157</v>
      </c>
      <c r="B60" s="276"/>
      <c r="C60" s="182">
        <v>12</v>
      </c>
      <c r="D60" s="182">
        <v>0.7</v>
      </c>
      <c r="E60" s="188">
        <v>72.61</v>
      </c>
      <c r="F60" s="183">
        <f ca="1" t="shared" si="0"/>
        <v>72.61</v>
      </c>
      <c r="G60" s="184">
        <f>B60*C60</f>
        <v>0</v>
      </c>
      <c r="H60" s="184">
        <f t="shared" si="4"/>
        <v>0</v>
      </c>
      <c r="I60" s="185">
        <f>G60*F60</f>
        <v>0</v>
      </c>
      <c r="J60" s="184">
        <f>(G60*D60)/10</f>
        <v>0</v>
      </c>
      <c r="K60" s="152" t="s">
        <v>294</v>
      </c>
    </row>
    <row r="61" spans="1:11" s="189" customFormat="1" ht="15.75">
      <c r="A61" s="174" t="s">
        <v>107</v>
      </c>
      <c r="B61" s="274"/>
      <c r="C61" s="187"/>
      <c r="D61" s="187"/>
      <c r="E61" s="187"/>
      <c r="F61" s="186">
        <f ca="1" t="shared" si="0"/>
        <v>0</v>
      </c>
      <c r="G61" s="187"/>
      <c r="H61" s="187"/>
      <c r="I61" s="187"/>
      <c r="J61" s="187"/>
      <c r="K61" s="152" t="s">
        <v>294</v>
      </c>
    </row>
    <row r="62" spans="1:11" s="189" customFormat="1" ht="15.75">
      <c r="A62" s="196" t="s">
        <v>138</v>
      </c>
      <c r="B62" s="279"/>
      <c r="C62" s="197">
        <v>12</v>
      </c>
      <c r="D62" s="197">
        <v>0.7</v>
      </c>
      <c r="E62" s="200">
        <v>73.67</v>
      </c>
      <c r="F62" s="183">
        <f ca="1" t="shared" si="0"/>
        <v>73.67</v>
      </c>
      <c r="G62" s="184">
        <f aca="true" t="shared" si="5" ref="G62:G67">B62*C62</f>
        <v>0</v>
      </c>
      <c r="H62" s="184">
        <f t="shared" si="4"/>
        <v>0</v>
      </c>
      <c r="I62" s="185">
        <f aca="true" t="shared" si="6" ref="I62:I67">G62*F62</f>
        <v>0</v>
      </c>
      <c r="J62" s="184">
        <f aca="true" t="shared" si="7" ref="J62:J67">(G62*D62)/10</f>
        <v>0</v>
      </c>
      <c r="K62" s="152" t="s">
        <v>294</v>
      </c>
    </row>
    <row r="63" spans="1:11" s="189" customFormat="1" ht="15.75">
      <c r="A63" s="196" t="s">
        <v>108</v>
      </c>
      <c r="B63" s="279"/>
      <c r="C63" s="197">
        <v>12</v>
      </c>
      <c r="D63" s="197">
        <v>0.7</v>
      </c>
      <c r="E63" s="200">
        <v>73.67</v>
      </c>
      <c r="F63" s="183">
        <f ca="1" t="shared" si="0"/>
        <v>73.67</v>
      </c>
      <c r="G63" s="184">
        <f t="shared" si="5"/>
        <v>0</v>
      </c>
      <c r="H63" s="184">
        <f t="shared" si="4"/>
        <v>0</v>
      </c>
      <c r="I63" s="185">
        <f t="shared" si="6"/>
        <v>0</v>
      </c>
      <c r="J63" s="184">
        <f t="shared" si="7"/>
        <v>0</v>
      </c>
      <c r="K63" s="152" t="s">
        <v>294</v>
      </c>
    </row>
    <row r="64" spans="1:11" s="189" customFormat="1" ht="15.75">
      <c r="A64" s="196" t="s">
        <v>139</v>
      </c>
      <c r="B64" s="279"/>
      <c r="C64" s="197">
        <v>12</v>
      </c>
      <c r="D64" s="197">
        <v>0.7</v>
      </c>
      <c r="E64" s="200">
        <v>73.67</v>
      </c>
      <c r="F64" s="183">
        <f ca="1" t="shared" si="0"/>
        <v>73.67</v>
      </c>
      <c r="G64" s="184">
        <f t="shared" si="5"/>
        <v>0</v>
      </c>
      <c r="H64" s="184">
        <f t="shared" si="4"/>
        <v>0</v>
      </c>
      <c r="I64" s="185">
        <f t="shared" si="6"/>
        <v>0</v>
      </c>
      <c r="J64" s="184">
        <f t="shared" si="7"/>
        <v>0</v>
      </c>
      <c r="K64" s="152" t="s">
        <v>294</v>
      </c>
    </row>
    <row r="65" spans="1:11" s="189" customFormat="1" ht="15.75">
      <c r="A65" s="196" t="s">
        <v>140</v>
      </c>
      <c r="B65" s="279"/>
      <c r="C65" s="197">
        <v>12</v>
      </c>
      <c r="D65" s="197">
        <v>0.7</v>
      </c>
      <c r="E65" s="200">
        <v>73.67</v>
      </c>
      <c r="F65" s="183">
        <f ca="1" t="shared" si="0"/>
        <v>73.67</v>
      </c>
      <c r="G65" s="184">
        <f t="shared" si="5"/>
        <v>0</v>
      </c>
      <c r="H65" s="184">
        <f t="shared" si="4"/>
        <v>0</v>
      </c>
      <c r="I65" s="185">
        <f t="shared" si="6"/>
        <v>0</v>
      </c>
      <c r="J65" s="184">
        <f t="shared" si="7"/>
        <v>0</v>
      </c>
      <c r="K65" s="152" t="s">
        <v>294</v>
      </c>
    </row>
    <row r="66" spans="1:11" s="189" customFormat="1" ht="15.75">
      <c r="A66" s="196" t="s">
        <v>109</v>
      </c>
      <c r="B66" s="279"/>
      <c r="C66" s="197">
        <v>12</v>
      </c>
      <c r="D66" s="197">
        <v>0.7</v>
      </c>
      <c r="E66" s="200">
        <v>73.67</v>
      </c>
      <c r="F66" s="183">
        <f ca="1" t="shared" si="0"/>
        <v>73.67</v>
      </c>
      <c r="G66" s="184">
        <f t="shared" si="5"/>
        <v>0</v>
      </c>
      <c r="H66" s="184">
        <f t="shared" si="4"/>
        <v>0</v>
      </c>
      <c r="I66" s="185">
        <f t="shared" si="6"/>
        <v>0</v>
      </c>
      <c r="J66" s="184">
        <f t="shared" si="7"/>
        <v>0</v>
      </c>
      <c r="K66" s="152" t="s">
        <v>294</v>
      </c>
    </row>
    <row r="67" spans="1:11" s="189" customFormat="1" ht="15.75">
      <c r="A67" s="196" t="s">
        <v>110</v>
      </c>
      <c r="B67" s="279"/>
      <c r="C67" s="197">
        <v>12</v>
      </c>
      <c r="D67" s="197">
        <v>0.7</v>
      </c>
      <c r="E67" s="200">
        <v>73.67</v>
      </c>
      <c r="F67" s="183">
        <f ca="1" t="shared" si="0"/>
        <v>73.67</v>
      </c>
      <c r="G67" s="184">
        <f t="shared" si="5"/>
        <v>0</v>
      </c>
      <c r="H67" s="184">
        <f t="shared" si="4"/>
        <v>0</v>
      </c>
      <c r="I67" s="185">
        <f t="shared" si="6"/>
        <v>0</v>
      </c>
      <c r="J67" s="184">
        <f t="shared" si="7"/>
        <v>0</v>
      </c>
      <c r="K67" s="152" t="s">
        <v>294</v>
      </c>
    </row>
    <row r="68" spans="1:11" s="189" customFormat="1" ht="15.75">
      <c r="A68" s="174" t="s">
        <v>103</v>
      </c>
      <c r="B68" s="274"/>
      <c r="C68" s="187"/>
      <c r="D68" s="187"/>
      <c r="E68" s="187"/>
      <c r="F68" s="186">
        <f ca="1" t="shared" si="0"/>
        <v>0</v>
      </c>
      <c r="G68" s="187"/>
      <c r="H68" s="187"/>
      <c r="I68" s="187"/>
      <c r="J68" s="187"/>
      <c r="K68" s="152" t="s">
        <v>294</v>
      </c>
    </row>
    <row r="69" spans="1:11" s="189" customFormat="1" ht="15.75">
      <c r="A69" s="187" t="s">
        <v>158</v>
      </c>
      <c r="B69" s="276"/>
      <c r="C69" s="182">
        <v>4</v>
      </c>
      <c r="D69" s="182">
        <v>3</v>
      </c>
      <c r="E69" s="188">
        <v>253.34</v>
      </c>
      <c r="F69" s="183">
        <f ca="1" t="shared" si="0"/>
        <v>253.34</v>
      </c>
      <c r="G69" s="184">
        <f aca="true" t="shared" si="8" ref="G69:G79">B69*C69</f>
        <v>0</v>
      </c>
      <c r="H69" s="184">
        <f>12.9*B69</f>
        <v>0</v>
      </c>
      <c r="I69" s="185">
        <f aca="true" t="shared" si="9" ref="I69:I79">G69*F69</f>
        <v>0</v>
      </c>
      <c r="J69" s="184">
        <f aca="true" t="shared" si="10" ref="J69:J79">(G69*D69)/10</f>
        <v>0</v>
      </c>
      <c r="K69" s="152" t="s">
        <v>294</v>
      </c>
    </row>
    <row r="70" spans="1:11" s="189" customFormat="1" ht="15.75">
      <c r="A70" s="187" t="s">
        <v>159</v>
      </c>
      <c r="B70" s="276"/>
      <c r="C70" s="182">
        <v>12</v>
      </c>
      <c r="D70" s="182">
        <v>0.7</v>
      </c>
      <c r="E70" s="188">
        <v>72.61</v>
      </c>
      <c r="F70" s="183">
        <f ca="1" t="shared" si="0"/>
        <v>72.61</v>
      </c>
      <c r="G70" s="184">
        <f t="shared" si="8"/>
        <v>0</v>
      </c>
      <c r="H70" s="184">
        <f aca="true" t="shared" si="11" ref="H70:H81">15.2*B70</f>
        <v>0</v>
      </c>
      <c r="I70" s="185">
        <f t="shared" si="9"/>
        <v>0</v>
      </c>
      <c r="J70" s="184">
        <f t="shared" si="10"/>
        <v>0</v>
      </c>
      <c r="K70" s="152" t="s">
        <v>294</v>
      </c>
    </row>
    <row r="71" spans="1:11" s="189" customFormat="1" ht="15.75">
      <c r="A71" s="187" t="s">
        <v>159</v>
      </c>
      <c r="B71" s="276"/>
      <c r="C71" s="182">
        <v>30</v>
      </c>
      <c r="D71" s="182">
        <v>0.25</v>
      </c>
      <c r="E71" s="188">
        <v>38.69</v>
      </c>
      <c r="F71" s="183">
        <f ca="1" t="shared" si="0"/>
        <v>38.69</v>
      </c>
      <c r="G71" s="184">
        <f t="shared" si="8"/>
        <v>0</v>
      </c>
      <c r="H71" s="184">
        <f>13.531*B71</f>
        <v>0</v>
      </c>
      <c r="I71" s="185">
        <f t="shared" si="9"/>
        <v>0</v>
      </c>
      <c r="J71" s="184">
        <f t="shared" si="10"/>
        <v>0</v>
      </c>
      <c r="K71" s="152" t="s">
        <v>294</v>
      </c>
    </row>
    <row r="72" spans="1:11" s="189" customFormat="1" ht="15.75">
      <c r="A72" s="187" t="s">
        <v>160</v>
      </c>
      <c r="B72" s="276"/>
      <c r="C72" s="182">
        <v>12</v>
      </c>
      <c r="D72" s="182">
        <v>0.7</v>
      </c>
      <c r="E72" s="188">
        <v>72.61</v>
      </c>
      <c r="F72" s="183">
        <f ca="1" t="shared" si="0"/>
        <v>72.61</v>
      </c>
      <c r="G72" s="184">
        <f t="shared" si="8"/>
        <v>0</v>
      </c>
      <c r="H72" s="184">
        <f t="shared" si="11"/>
        <v>0</v>
      </c>
      <c r="I72" s="185">
        <f t="shared" si="9"/>
        <v>0</v>
      </c>
      <c r="J72" s="184">
        <f t="shared" si="10"/>
        <v>0</v>
      </c>
      <c r="K72" s="152" t="s">
        <v>294</v>
      </c>
    </row>
    <row r="73" spans="1:11" s="189" customFormat="1" ht="15.75">
      <c r="A73" s="187" t="s">
        <v>161</v>
      </c>
      <c r="B73" s="276"/>
      <c r="C73" s="182">
        <v>4</v>
      </c>
      <c r="D73" s="182">
        <v>3</v>
      </c>
      <c r="E73" s="188">
        <v>253.34</v>
      </c>
      <c r="F73" s="183">
        <f ca="1" t="shared" si="0"/>
        <v>253.34</v>
      </c>
      <c r="G73" s="184">
        <f t="shared" si="8"/>
        <v>0</v>
      </c>
      <c r="H73" s="184">
        <f>12.9*B73</f>
        <v>0</v>
      </c>
      <c r="I73" s="185">
        <f t="shared" si="9"/>
        <v>0</v>
      </c>
      <c r="J73" s="184">
        <f t="shared" si="10"/>
        <v>0</v>
      </c>
      <c r="K73" s="152" t="s">
        <v>294</v>
      </c>
    </row>
    <row r="74" spans="1:11" s="189" customFormat="1" ht="15.75">
      <c r="A74" s="187" t="s">
        <v>162</v>
      </c>
      <c r="B74" s="276"/>
      <c r="C74" s="182">
        <v>12</v>
      </c>
      <c r="D74" s="182">
        <v>0.7</v>
      </c>
      <c r="E74" s="188">
        <v>72.61</v>
      </c>
      <c r="F74" s="183">
        <f ca="1" t="shared" si="0"/>
        <v>72.61</v>
      </c>
      <c r="G74" s="184">
        <f t="shared" si="8"/>
        <v>0</v>
      </c>
      <c r="H74" s="184">
        <f t="shared" si="11"/>
        <v>0</v>
      </c>
      <c r="I74" s="185">
        <f t="shared" si="9"/>
        <v>0</v>
      </c>
      <c r="J74" s="184">
        <f t="shared" si="10"/>
        <v>0</v>
      </c>
      <c r="K74" s="152" t="s">
        <v>294</v>
      </c>
    </row>
    <row r="75" spans="1:11" s="189" customFormat="1" ht="15.75">
      <c r="A75" s="187" t="s">
        <v>162</v>
      </c>
      <c r="B75" s="276"/>
      <c r="C75" s="182">
        <v>30</v>
      </c>
      <c r="D75" s="182">
        <v>0.25</v>
      </c>
      <c r="E75" s="188">
        <v>38.69</v>
      </c>
      <c r="F75" s="183">
        <f ca="1" t="shared" si="0"/>
        <v>38.69</v>
      </c>
      <c r="G75" s="184">
        <f t="shared" si="8"/>
        <v>0</v>
      </c>
      <c r="H75" s="184">
        <f>13.531*B75</f>
        <v>0</v>
      </c>
      <c r="I75" s="185">
        <f t="shared" si="9"/>
        <v>0</v>
      </c>
      <c r="J75" s="184">
        <f t="shared" si="10"/>
        <v>0</v>
      </c>
      <c r="K75" s="152" t="s">
        <v>294</v>
      </c>
    </row>
    <row r="76" spans="1:11" s="189" customFormat="1" ht="19.5" customHeight="1">
      <c r="A76" s="187" t="s">
        <v>39</v>
      </c>
      <c r="B76" s="276"/>
      <c r="C76" s="182">
        <v>12</v>
      </c>
      <c r="D76" s="182">
        <v>0.7</v>
      </c>
      <c r="E76" s="188">
        <v>83.74</v>
      </c>
      <c r="F76" s="183">
        <f ca="1" t="shared" si="0"/>
        <v>83.74</v>
      </c>
      <c r="G76" s="184">
        <f t="shared" si="8"/>
        <v>0</v>
      </c>
      <c r="H76" s="184">
        <f t="shared" si="11"/>
        <v>0</v>
      </c>
      <c r="I76" s="185">
        <f t="shared" si="9"/>
        <v>0</v>
      </c>
      <c r="J76" s="184">
        <f t="shared" si="10"/>
        <v>0</v>
      </c>
      <c r="K76" s="152" t="s">
        <v>294</v>
      </c>
    </row>
    <row r="77" spans="1:11" s="189" customFormat="1" ht="15.75">
      <c r="A77" s="187" t="s">
        <v>40</v>
      </c>
      <c r="B77" s="276"/>
      <c r="C77" s="182">
        <v>12</v>
      </c>
      <c r="D77" s="182">
        <v>0.7</v>
      </c>
      <c r="E77" s="188">
        <v>83.74</v>
      </c>
      <c r="F77" s="183">
        <f ca="1" t="shared" si="0"/>
        <v>83.74</v>
      </c>
      <c r="G77" s="184">
        <f t="shared" si="8"/>
        <v>0</v>
      </c>
      <c r="H77" s="184">
        <f t="shared" si="11"/>
        <v>0</v>
      </c>
      <c r="I77" s="185">
        <f t="shared" si="9"/>
        <v>0</v>
      </c>
      <c r="J77" s="184">
        <f t="shared" si="10"/>
        <v>0</v>
      </c>
      <c r="K77" s="152" t="s">
        <v>294</v>
      </c>
    </row>
    <row r="78" spans="1:11" s="189" customFormat="1" ht="15.75">
      <c r="A78" s="187" t="s">
        <v>163</v>
      </c>
      <c r="B78" s="276"/>
      <c r="C78" s="182">
        <v>12</v>
      </c>
      <c r="D78" s="182">
        <v>0.7</v>
      </c>
      <c r="E78" s="188">
        <v>79.5</v>
      </c>
      <c r="F78" s="183">
        <f ca="1" t="shared" si="0"/>
        <v>79.5</v>
      </c>
      <c r="G78" s="184">
        <f t="shared" si="8"/>
        <v>0</v>
      </c>
      <c r="H78" s="184">
        <f t="shared" si="11"/>
        <v>0</v>
      </c>
      <c r="I78" s="185">
        <f t="shared" si="9"/>
        <v>0</v>
      </c>
      <c r="J78" s="184">
        <f t="shared" si="10"/>
        <v>0</v>
      </c>
      <c r="K78" s="152" t="s">
        <v>294</v>
      </c>
    </row>
    <row r="79" spans="1:11" s="189" customFormat="1" ht="15.75">
      <c r="A79" s="187" t="s">
        <v>164</v>
      </c>
      <c r="B79" s="276"/>
      <c r="C79" s="182">
        <v>12</v>
      </c>
      <c r="D79" s="182">
        <v>0.7</v>
      </c>
      <c r="E79" s="188">
        <v>79.5</v>
      </c>
      <c r="F79" s="183">
        <f ca="1" t="shared" si="0"/>
        <v>79.5</v>
      </c>
      <c r="G79" s="184">
        <f t="shared" si="8"/>
        <v>0</v>
      </c>
      <c r="H79" s="184">
        <f t="shared" si="11"/>
        <v>0</v>
      </c>
      <c r="I79" s="185">
        <f t="shared" si="9"/>
        <v>0</v>
      </c>
      <c r="J79" s="184">
        <f t="shared" si="10"/>
        <v>0</v>
      </c>
      <c r="K79" s="152" t="s">
        <v>294</v>
      </c>
    </row>
    <row r="80" spans="1:11" s="189" customFormat="1" ht="15.75">
      <c r="A80" s="187" t="s">
        <v>165</v>
      </c>
      <c r="B80" s="276"/>
      <c r="C80" s="201">
        <v>12</v>
      </c>
      <c r="D80" s="201">
        <v>0.7</v>
      </c>
      <c r="E80" s="202">
        <v>87.98</v>
      </c>
      <c r="F80" s="183">
        <f ca="1" t="shared" si="0"/>
        <v>87.98</v>
      </c>
      <c r="G80" s="184">
        <f>B80*C80</f>
        <v>0</v>
      </c>
      <c r="H80" s="184">
        <f t="shared" si="11"/>
        <v>0</v>
      </c>
      <c r="I80" s="185">
        <f>G80*F80</f>
        <v>0</v>
      </c>
      <c r="J80" s="184">
        <f>(G80*D80)/10</f>
        <v>0</v>
      </c>
      <c r="K80" s="152" t="s">
        <v>294</v>
      </c>
    </row>
    <row r="81" spans="1:11" s="189" customFormat="1" ht="16.5" customHeight="1">
      <c r="A81" s="187" t="s">
        <v>166</v>
      </c>
      <c r="B81" s="276"/>
      <c r="C81" s="201">
        <v>12</v>
      </c>
      <c r="D81" s="201">
        <v>0.7</v>
      </c>
      <c r="E81" s="202">
        <v>87.98</v>
      </c>
      <c r="F81" s="183">
        <f ca="1" t="shared" si="0"/>
        <v>87.98</v>
      </c>
      <c r="G81" s="184">
        <f>B81*C81</f>
        <v>0</v>
      </c>
      <c r="H81" s="184">
        <f t="shared" si="11"/>
        <v>0</v>
      </c>
      <c r="I81" s="185">
        <f>G81*F81</f>
        <v>0</v>
      </c>
      <c r="J81" s="184">
        <f>(G81*D81)/10</f>
        <v>0</v>
      </c>
      <c r="K81" s="152" t="s">
        <v>294</v>
      </c>
    </row>
    <row r="82" spans="1:11" s="189" customFormat="1" ht="16.5" customHeight="1">
      <c r="A82" s="187" t="s">
        <v>313</v>
      </c>
      <c r="B82" s="276"/>
      <c r="C82" s="201">
        <v>12</v>
      </c>
      <c r="D82" s="201">
        <v>0.7</v>
      </c>
      <c r="E82" s="202">
        <v>73.67</v>
      </c>
      <c r="F82" s="183">
        <f ca="1">E82-(E82*INDIRECT(K82))</f>
        <v>73.67</v>
      </c>
      <c r="G82" s="184">
        <f>B82*C82</f>
        <v>0</v>
      </c>
      <c r="H82" s="184">
        <f>15.2*B82</f>
        <v>0</v>
      </c>
      <c r="I82" s="185">
        <f>G82*F82</f>
        <v>0</v>
      </c>
      <c r="J82" s="184">
        <f>(G82*D82)/10</f>
        <v>0</v>
      </c>
      <c r="K82" s="152" t="s">
        <v>294</v>
      </c>
    </row>
    <row r="83" spans="1:11" s="189" customFormat="1" ht="15.75">
      <c r="A83" s="174" t="s">
        <v>265</v>
      </c>
      <c r="B83" s="280"/>
      <c r="C83" s="184"/>
      <c r="D83" s="205"/>
      <c r="E83" s="206"/>
      <c r="F83" s="183">
        <f ca="1" t="shared" si="0"/>
        <v>0</v>
      </c>
      <c r="G83" s="184"/>
      <c r="H83" s="184"/>
      <c r="I83" s="185"/>
      <c r="J83" s="184"/>
      <c r="K83" s="152" t="s">
        <v>294</v>
      </c>
    </row>
    <row r="84" spans="1:11" s="189" customFormat="1" ht="15.75">
      <c r="A84" s="187" t="s">
        <v>84</v>
      </c>
      <c r="B84" s="276"/>
      <c r="C84" s="182">
        <v>12</v>
      </c>
      <c r="D84" s="182">
        <v>0.75</v>
      </c>
      <c r="E84" s="200">
        <v>91.06</v>
      </c>
      <c r="F84" s="183">
        <f ca="1" t="shared" si="0"/>
        <v>91.06</v>
      </c>
      <c r="G84" s="184">
        <f aca="true" t="shared" si="12" ref="G84:G99">B84*C84</f>
        <v>0</v>
      </c>
      <c r="H84" s="184">
        <f>16*B84</f>
        <v>0</v>
      </c>
      <c r="I84" s="185">
        <f aca="true" t="shared" si="13" ref="I84:I89">G84*F84</f>
        <v>0</v>
      </c>
      <c r="J84" s="184">
        <f aca="true" t="shared" si="14" ref="J84:J89">(G84*D84)/10</f>
        <v>0</v>
      </c>
      <c r="K84" s="152" t="s">
        <v>294</v>
      </c>
    </row>
    <row r="85" spans="1:11" s="189" customFormat="1" ht="15.75">
      <c r="A85" s="187" t="s">
        <v>84</v>
      </c>
      <c r="B85" s="276"/>
      <c r="C85" s="182">
        <v>12</v>
      </c>
      <c r="D85" s="182">
        <v>1</v>
      </c>
      <c r="E85" s="198">
        <v>102.66</v>
      </c>
      <c r="F85" s="183">
        <f ca="1" t="shared" si="0"/>
        <v>102.66</v>
      </c>
      <c r="G85" s="184">
        <f t="shared" si="12"/>
        <v>0</v>
      </c>
      <c r="H85" s="184">
        <f>13*B85</f>
        <v>0</v>
      </c>
      <c r="I85" s="185">
        <f t="shared" si="13"/>
        <v>0</v>
      </c>
      <c r="J85" s="184">
        <f t="shared" si="14"/>
        <v>0</v>
      </c>
      <c r="K85" s="152" t="s">
        <v>294</v>
      </c>
    </row>
    <row r="86" spans="1:11" s="189" customFormat="1" ht="15.75">
      <c r="A86" s="187" t="s">
        <v>84</v>
      </c>
      <c r="B86" s="276"/>
      <c r="C86" s="182">
        <v>6</v>
      </c>
      <c r="D86" s="182">
        <v>2</v>
      </c>
      <c r="E86" s="198">
        <v>168.2</v>
      </c>
      <c r="F86" s="183">
        <f ca="1" t="shared" si="0"/>
        <v>168.2</v>
      </c>
      <c r="G86" s="184">
        <f t="shared" si="12"/>
        <v>0</v>
      </c>
      <c r="H86" s="184">
        <f>13*B86</f>
        <v>0</v>
      </c>
      <c r="I86" s="185">
        <f t="shared" si="13"/>
        <v>0</v>
      </c>
      <c r="J86" s="184">
        <f t="shared" si="14"/>
        <v>0</v>
      </c>
      <c r="K86" s="152" t="s">
        <v>294</v>
      </c>
    </row>
    <row r="87" spans="1:11" s="189" customFormat="1" ht="15.75">
      <c r="A87" s="187" t="s">
        <v>84</v>
      </c>
      <c r="B87" s="276"/>
      <c r="C87" s="182">
        <v>4</v>
      </c>
      <c r="D87" s="182">
        <v>3</v>
      </c>
      <c r="E87" s="198">
        <v>273.18</v>
      </c>
      <c r="F87" s="183">
        <f ca="1" t="shared" si="0"/>
        <v>273.18</v>
      </c>
      <c r="G87" s="184">
        <f t="shared" si="12"/>
        <v>0</v>
      </c>
      <c r="H87" s="184">
        <f>13*B87</f>
        <v>0</v>
      </c>
      <c r="I87" s="185">
        <f t="shared" si="13"/>
        <v>0</v>
      </c>
      <c r="J87" s="184">
        <f t="shared" si="14"/>
        <v>0</v>
      </c>
      <c r="K87" s="152" t="s">
        <v>294</v>
      </c>
    </row>
    <row r="88" spans="1:11" s="189" customFormat="1" ht="15.75">
      <c r="A88" s="187" t="s">
        <v>85</v>
      </c>
      <c r="B88" s="276"/>
      <c r="C88" s="182">
        <v>12</v>
      </c>
      <c r="D88" s="182">
        <v>0.75</v>
      </c>
      <c r="E88" s="200">
        <v>91.06</v>
      </c>
      <c r="F88" s="183">
        <f ca="1" t="shared" si="0"/>
        <v>91.06</v>
      </c>
      <c r="G88" s="184">
        <f t="shared" si="12"/>
        <v>0</v>
      </c>
      <c r="H88" s="184">
        <f>16*B88</f>
        <v>0</v>
      </c>
      <c r="I88" s="185">
        <f t="shared" si="13"/>
        <v>0</v>
      </c>
      <c r="J88" s="184">
        <f t="shared" si="14"/>
        <v>0</v>
      </c>
      <c r="K88" s="152" t="s">
        <v>294</v>
      </c>
    </row>
    <row r="89" spans="1:11" s="189" customFormat="1" ht="15.75">
      <c r="A89" s="187" t="s">
        <v>85</v>
      </c>
      <c r="B89" s="276"/>
      <c r="C89" s="182">
        <v>12</v>
      </c>
      <c r="D89" s="182">
        <v>1</v>
      </c>
      <c r="E89" s="198">
        <v>102.66</v>
      </c>
      <c r="F89" s="183">
        <f ca="1" t="shared" si="0"/>
        <v>102.66</v>
      </c>
      <c r="G89" s="184">
        <f t="shared" si="12"/>
        <v>0</v>
      </c>
      <c r="H89" s="184">
        <f>13*B89</f>
        <v>0</v>
      </c>
      <c r="I89" s="185">
        <f t="shared" si="13"/>
        <v>0</v>
      </c>
      <c r="J89" s="184">
        <f t="shared" si="14"/>
        <v>0</v>
      </c>
      <c r="K89" s="152" t="s">
        <v>294</v>
      </c>
    </row>
    <row r="90" spans="1:11" s="189" customFormat="1" ht="15.75">
      <c r="A90" s="187" t="s">
        <v>85</v>
      </c>
      <c r="B90" s="276"/>
      <c r="C90" s="182">
        <v>6</v>
      </c>
      <c r="D90" s="182">
        <v>2</v>
      </c>
      <c r="E90" s="198">
        <v>168.2</v>
      </c>
      <c r="F90" s="183">
        <f ca="1" t="shared" si="0"/>
        <v>168.2</v>
      </c>
      <c r="G90" s="184">
        <f t="shared" si="12"/>
        <v>0</v>
      </c>
      <c r="H90" s="184">
        <f>13*B90</f>
        <v>0</v>
      </c>
      <c r="I90" s="185">
        <f aca="true" t="shared" si="15" ref="I90:I99">G90*F90</f>
        <v>0</v>
      </c>
      <c r="J90" s="184">
        <f aca="true" t="shared" si="16" ref="J90:J99">(G90*D90)/10</f>
        <v>0</v>
      </c>
      <c r="K90" s="152" t="s">
        <v>294</v>
      </c>
    </row>
    <row r="91" spans="1:11" s="189" customFormat="1" ht="15.75">
      <c r="A91" s="187" t="s">
        <v>85</v>
      </c>
      <c r="B91" s="276"/>
      <c r="C91" s="182">
        <v>4</v>
      </c>
      <c r="D91" s="182">
        <v>3</v>
      </c>
      <c r="E91" s="198">
        <v>273.18</v>
      </c>
      <c r="F91" s="183">
        <f ca="1" t="shared" si="0"/>
        <v>273.18</v>
      </c>
      <c r="G91" s="184">
        <f t="shared" si="12"/>
        <v>0</v>
      </c>
      <c r="H91" s="184">
        <f>13*B91</f>
        <v>0</v>
      </c>
      <c r="I91" s="185">
        <f t="shared" si="15"/>
        <v>0</v>
      </c>
      <c r="J91" s="184">
        <f t="shared" si="16"/>
        <v>0</v>
      </c>
      <c r="K91" s="152" t="s">
        <v>294</v>
      </c>
    </row>
    <row r="92" spans="1:11" s="189" customFormat="1" ht="15.75">
      <c r="A92" s="187" t="s">
        <v>86</v>
      </c>
      <c r="B92" s="276"/>
      <c r="C92" s="182">
        <v>12</v>
      </c>
      <c r="D92" s="182">
        <v>0.75</v>
      </c>
      <c r="E92" s="200">
        <v>91.06</v>
      </c>
      <c r="F92" s="183">
        <f ca="1" t="shared" si="0"/>
        <v>91.06</v>
      </c>
      <c r="G92" s="184">
        <f t="shared" si="12"/>
        <v>0</v>
      </c>
      <c r="H92" s="184">
        <f>16*B92</f>
        <v>0</v>
      </c>
      <c r="I92" s="185">
        <f t="shared" si="15"/>
        <v>0</v>
      </c>
      <c r="J92" s="184">
        <f t="shared" si="16"/>
        <v>0</v>
      </c>
      <c r="K92" s="152" t="s">
        <v>294</v>
      </c>
    </row>
    <row r="93" spans="1:11" s="189" customFormat="1" ht="15.75">
      <c r="A93" s="187" t="s">
        <v>86</v>
      </c>
      <c r="B93" s="276"/>
      <c r="C93" s="182">
        <v>12</v>
      </c>
      <c r="D93" s="182">
        <v>1</v>
      </c>
      <c r="E93" s="198">
        <v>102.66</v>
      </c>
      <c r="F93" s="183">
        <f ca="1" t="shared" si="0"/>
        <v>102.66</v>
      </c>
      <c r="G93" s="184">
        <f t="shared" si="12"/>
        <v>0</v>
      </c>
      <c r="H93" s="184">
        <f>13*B93</f>
        <v>0</v>
      </c>
      <c r="I93" s="185">
        <f t="shared" si="15"/>
        <v>0</v>
      </c>
      <c r="J93" s="184">
        <f t="shared" si="16"/>
        <v>0</v>
      </c>
      <c r="K93" s="152" t="s">
        <v>294</v>
      </c>
    </row>
    <row r="94" spans="1:11" s="189" customFormat="1" ht="15.75">
      <c r="A94" s="187" t="s">
        <v>86</v>
      </c>
      <c r="B94" s="276"/>
      <c r="C94" s="182">
        <v>6</v>
      </c>
      <c r="D94" s="182">
        <v>2</v>
      </c>
      <c r="E94" s="198">
        <v>168.2</v>
      </c>
      <c r="F94" s="183">
        <f ca="1" t="shared" si="0"/>
        <v>168.2</v>
      </c>
      <c r="G94" s="184">
        <f t="shared" si="12"/>
        <v>0</v>
      </c>
      <c r="H94" s="184">
        <f>13*B94</f>
        <v>0</v>
      </c>
      <c r="I94" s="185">
        <f t="shared" si="15"/>
        <v>0</v>
      </c>
      <c r="J94" s="184">
        <f t="shared" si="16"/>
        <v>0</v>
      </c>
      <c r="K94" s="152" t="s">
        <v>294</v>
      </c>
    </row>
    <row r="95" spans="1:11" s="189" customFormat="1" ht="15.75">
      <c r="A95" s="187" t="s">
        <v>86</v>
      </c>
      <c r="B95" s="276"/>
      <c r="C95" s="182">
        <v>4</v>
      </c>
      <c r="D95" s="182">
        <v>3</v>
      </c>
      <c r="E95" s="198">
        <v>273.18</v>
      </c>
      <c r="F95" s="183">
        <f aca="true" ca="1" t="shared" si="17" ref="F95:F154">E95-(E95*INDIRECT(K95))</f>
        <v>273.18</v>
      </c>
      <c r="G95" s="184">
        <f t="shared" si="12"/>
        <v>0</v>
      </c>
      <c r="H95" s="184">
        <f>13*B95</f>
        <v>0</v>
      </c>
      <c r="I95" s="185">
        <f t="shared" si="15"/>
        <v>0</v>
      </c>
      <c r="J95" s="184">
        <f t="shared" si="16"/>
        <v>0</v>
      </c>
      <c r="K95" s="152" t="s">
        <v>294</v>
      </c>
    </row>
    <row r="96" spans="1:11" s="189" customFormat="1" ht="15.75">
      <c r="A96" s="187" t="s">
        <v>87</v>
      </c>
      <c r="B96" s="276"/>
      <c r="C96" s="182">
        <v>12</v>
      </c>
      <c r="D96" s="182">
        <v>0.75</v>
      </c>
      <c r="E96" s="200">
        <v>91.06</v>
      </c>
      <c r="F96" s="183">
        <f ca="1" t="shared" si="17"/>
        <v>91.06</v>
      </c>
      <c r="G96" s="184">
        <f t="shared" si="12"/>
        <v>0</v>
      </c>
      <c r="H96" s="184">
        <f>16*B96</f>
        <v>0</v>
      </c>
      <c r="I96" s="185">
        <f t="shared" si="15"/>
        <v>0</v>
      </c>
      <c r="J96" s="184">
        <f t="shared" si="16"/>
        <v>0</v>
      </c>
      <c r="K96" s="152" t="s">
        <v>294</v>
      </c>
    </row>
    <row r="97" spans="1:11" s="189" customFormat="1" ht="15.75">
      <c r="A97" s="187" t="s">
        <v>87</v>
      </c>
      <c r="B97" s="276"/>
      <c r="C97" s="182">
        <v>12</v>
      </c>
      <c r="D97" s="182">
        <v>1</v>
      </c>
      <c r="E97" s="198">
        <v>102.66</v>
      </c>
      <c r="F97" s="183">
        <f ca="1" t="shared" si="17"/>
        <v>102.66</v>
      </c>
      <c r="G97" s="184">
        <f t="shared" si="12"/>
        <v>0</v>
      </c>
      <c r="H97" s="184">
        <f>13*B97</f>
        <v>0</v>
      </c>
      <c r="I97" s="185">
        <f t="shared" si="15"/>
        <v>0</v>
      </c>
      <c r="J97" s="184">
        <f t="shared" si="16"/>
        <v>0</v>
      </c>
      <c r="K97" s="152" t="s">
        <v>294</v>
      </c>
    </row>
    <row r="98" spans="1:11" s="189" customFormat="1" ht="15.75">
      <c r="A98" s="187" t="s">
        <v>87</v>
      </c>
      <c r="B98" s="276"/>
      <c r="C98" s="182">
        <v>6</v>
      </c>
      <c r="D98" s="182">
        <v>2</v>
      </c>
      <c r="E98" s="198">
        <v>168.2</v>
      </c>
      <c r="F98" s="183">
        <f ca="1" t="shared" si="17"/>
        <v>168.2</v>
      </c>
      <c r="G98" s="184">
        <f t="shared" si="12"/>
        <v>0</v>
      </c>
      <c r="H98" s="184">
        <f>13*B98</f>
        <v>0</v>
      </c>
      <c r="I98" s="185">
        <f t="shared" si="15"/>
        <v>0</v>
      </c>
      <c r="J98" s="184">
        <f t="shared" si="16"/>
        <v>0</v>
      </c>
      <c r="K98" s="152" t="s">
        <v>294</v>
      </c>
    </row>
    <row r="99" spans="1:11" s="189" customFormat="1" ht="15.75">
      <c r="A99" s="187" t="s">
        <v>87</v>
      </c>
      <c r="B99" s="276"/>
      <c r="C99" s="182">
        <v>4</v>
      </c>
      <c r="D99" s="182">
        <v>3</v>
      </c>
      <c r="E99" s="198">
        <v>273.18</v>
      </c>
      <c r="F99" s="183">
        <f ca="1" t="shared" si="17"/>
        <v>273.18</v>
      </c>
      <c r="G99" s="184">
        <f t="shared" si="12"/>
        <v>0</v>
      </c>
      <c r="H99" s="184">
        <f>13*B99</f>
        <v>0</v>
      </c>
      <c r="I99" s="185">
        <f t="shared" si="15"/>
        <v>0</v>
      </c>
      <c r="J99" s="184">
        <f t="shared" si="16"/>
        <v>0</v>
      </c>
      <c r="K99" s="152" t="s">
        <v>294</v>
      </c>
    </row>
    <row r="100" spans="1:11" s="189" customFormat="1" ht="15">
      <c r="A100" s="207" t="s">
        <v>202</v>
      </c>
      <c r="B100" s="281"/>
      <c r="C100" s="207"/>
      <c r="D100" s="207"/>
      <c r="E100" s="207"/>
      <c r="F100" s="208">
        <f ca="1" t="shared" si="17"/>
        <v>0</v>
      </c>
      <c r="G100" s="207"/>
      <c r="H100" s="207"/>
      <c r="I100" s="207"/>
      <c r="J100" s="207"/>
      <c r="K100" s="152" t="s">
        <v>294</v>
      </c>
    </row>
    <row r="101" spans="1:11" s="173" customFormat="1" ht="36.75" customHeight="1">
      <c r="A101" s="169" t="s">
        <v>266</v>
      </c>
      <c r="B101" s="282"/>
      <c r="C101" s="169"/>
      <c r="D101" s="169"/>
      <c r="E101" s="170"/>
      <c r="F101" s="203">
        <f ca="1" t="shared" si="17"/>
        <v>0</v>
      </c>
      <c r="G101" s="204"/>
      <c r="H101" s="204"/>
      <c r="I101" s="204"/>
      <c r="J101" s="204"/>
      <c r="K101" s="152" t="s">
        <v>294</v>
      </c>
    </row>
    <row r="102" spans="1:11" ht="17.25" customHeight="1">
      <c r="A102" s="209" t="s">
        <v>187</v>
      </c>
      <c r="B102" s="282"/>
      <c r="C102" s="210"/>
      <c r="D102" s="210"/>
      <c r="E102" s="211"/>
      <c r="F102" s="212">
        <f ca="1" t="shared" si="17"/>
        <v>0</v>
      </c>
      <c r="G102" s="213"/>
      <c r="H102" s="213"/>
      <c r="I102" s="214"/>
      <c r="J102" s="213"/>
      <c r="K102" s="152" t="s">
        <v>294</v>
      </c>
    </row>
    <row r="103" spans="1:11" s="189" customFormat="1" ht="15.75">
      <c r="A103" s="293" t="s">
        <v>326</v>
      </c>
      <c r="B103" s="298"/>
      <c r="C103" s="299">
        <v>6</v>
      </c>
      <c r="D103" s="299">
        <v>0.7</v>
      </c>
      <c r="E103" s="300">
        <v>64.5</v>
      </c>
      <c r="F103" s="295">
        <f ca="1" t="shared" si="17"/>
        <v>64.5</v>
      </c>
      <c r="G103" s="296">
        <f aca="true" t="shared" si="18" ref="G103:G121">B103*C103</f>
        <v>0</v>
      </c>
      <c r="H103" s="296">
        <f>7.5*B103</f>
        <v>0</v>
      </c>
      <c r="I103" s="297">
        <f aca="true" t="shared" si="19" ref="I103:I121">G103*F103</f>
        <v>0</v>
      </c>
      <c r="J103" s="296">
        <f aca="true" t="shared" si="20" ref="J103:J121">(G103*D103)/10</f>
        <v>0</v>
      </c>
      <c r="K103" s="152" t="s">
        <v>294</v>
      </c>
    </row>
    <row r="104" spans="1:11" s="189" customFormat="1" ht="15.75">
      <c r="A104" s="294" t="s">
        <v>327</v>
      </c>
      <c r="B104" s="298"/>
      <c r="C104" s="299">
        <v>6</v>
      </c>
      <c r="D104" s="299">
        <v>0.7</v>
      </c>
      <c r="E104" s="300">
        <v>64.5</v>
      </c>
      <c r="F104" s="295">
        <f ca="1" t="shared" si="17"/>
        <v>64.5</v>
      </c>
      <c r="G104" s="296">
        <f t="shared" si="18"/>
        <v>0</v>
      </c>
      <c r="H104" s="296">
        <f aca="true" t="shared" si="21" ref="H104:H115">7.5*B104</f>
        <v>0</v>
      </c>
      <c r="I104" s="297">
        <f t="shared" si="19"/>
        <v>0</v>
      </c>
      <c r="J104" s="296">
        <f t="shared" si="20"/>
        <v>0</v>
      </c>
      <c r="K104" s="152" t="s">
        <v>294</v>
      </c>
    </row>
    <row r="105" spans="1:11" s="189" customFormat="1" ht="15.75">
      <c r="A105" s="217" t="s">
        <v>211</v>
      </c>
      <c r="B105" s="280"/>
      <c r="C105" s="215">
        <v>6</v>
      </c>
      <c r="D105" s="215">
        <v>0.7</v>
      </c>
      <c r="E105" s="216">
        <v>64.5</v>
      </c>
      <c r="F105" s="183">
        <f ca="1" t="shared" si="17"/>
        <v>64.5</v>
      </c>
      <c r="G105" s="184">
        <f t="shared" si="18"/>
        <v>0</v>
      </c>
      <c r="H105" s="184">
        <f t="shared" si="21"/>
        <v>0</v>
      </c>
      <c r="I105" s="185">
        <f t="shared" si="19"/>
        <v>0</v>
      </c>
      <c r="J105" s="184">
        <f t="shared" si="20"/>
        <v>0</v>
      </c>
      <c r="K105" s="152" t="s">
        <v>294</v>
      </c>
    </row>
    <row r="106" spans="1:11" s="189" customFormat="1" ht="15.75">
      <c r="A106" s="217" t="s">
        <v>212</v>
      </c>
      <c r="B106" s="280"/>
      <c r="C106" s="215">
        <v>6</v>
      </c>
      <c r="D106" s="215">
        <v>0.7</v>
      </c>
      <c r="E106" s="216">
        <v>64.5</v>
      </c>
      <c r="F106" s="183">
        <f ca="1" t="shared" si="17"/>
        <v>64.5</v>
      </c>
      <c r="G106" s="184">
        <f t="shared" si="18"/>
        <v>0</v>
      </c>
      <c r="H106" s="184">
        <f t="shared" si="21"/>
        <v>0</v>
      </c>
      <c r="I106" s="185">
        <f t="shared" si="19"/>
        <v>0</v>
      </c>
      <c r="J106" s="184">
        <f t="shared" si="20"/>
        <v>0</v>
      </c>
      <c r="K106" s="152" t="s">
        <v>294</v>
      </c>
    </row>
    <row r="107" spans="1:11" s="189" customFormat="1" ht="15.75">
      <c r="A107" s="217" t="s">
        <v>213</v>
      </c>
      <c r="B107" s="280"/>
      <c r="C107" s="215">
        <v>6</v>
      </c>
      <c r="D107" s="215">
        <v>0.7</v>
      </c>
      <c r="E107" s="216">
        <v>64.5</v>
      </c>
      <c r="F107" s="183">
        <f ca="1" t="shared" si="17"/>
        <v>64.5</v>
      </c>
      <c r="G107" s="184">
        <f t="shared" si="18"/>
        <v>0</v>
      </c>
      <c r="H107" s="184">
        <f t="shared" si="21"/>
        <v>0</v>
      </c>
      <c r="I107" s="185">
        <f t="shared" si="19"/>
        <v>0</v>
      </c>
      <c r="J107" s="184">
        <f t="shared" si="20"/>
        <v>0</v>
      </c>
      <c r="K107" s="152" t="s">
        <v>294</v>
      </c>
    </row>
    <row r="108" spans="1:11" s="189" customFormat="1" ht="15.75">
      <c r="A108" s="217" t="s">
        <v>214</v>
      </c>
      <c r="B108" s="280"/>
      <c r="C108" s="215">
        <v>6</v>
      </c>
      <c r="D108" s="215">
        <v>0.7</v>
      </c>
      <c r="E108" s="216">
        <v>64.5</v>
      </c>
      <c r="F108" s="183">
        <f ca="1" t="shared" si="17"/>
        <v>64.5</v>
      </c>
      <c r="G108" s="184">
        <f t="shared" si="18"/>
        <v>0</v>
      </c>
      <c r="H108" s="184">
        <f t="shared" si="21"/>
        <v>0</v>
      </c>
      <c r="I108" s="185">
        <f t="shared" si="19"/>
        <v>0</v>
      </c>
      <c r="J108" s="184">
        <f t="shared" si="20"/>
        <v>0</v>
      </c>
      <c r="K108" s="152" t="s">
        <v>294</v>
      </c>
    </row>
    <row r="109" spans="1:11" s="189" customFormat="1" ht="15.75">
      <c r="A109" s="217" t="s">
        <v>215</v>
      </c>
      <c r="B109" s="280"/>
      <c r="C109" s="215">
        <v>6</v>
      </c>
      <c r="D109" s="215">
        <v>0.7</v>
      </c>
      <c r="E109" s="216">
        <v>64.5</v>
      </c>
      <c r="F109" s="183">
        <f ca="1" t="shared" si="17"/>
        <v>64.5</v>
      </c>
      <c r="G109" s="184">
        <f t="shared" si="18"/>
        <v>0</v>
      </c>
      <c r="H109" s="184">
        <f t="shared" si="21"/>
        <v>0</v>
      </c>
      <c r="I109" s="185">
        <f t="shared" si="19"/>
        <v>0</v>
      </c>
      <c r="J109" s="184">
        <f t="shared" si="20"/>
        <v>0</v>
      </c>
      <c r="K109" s="152" t="s">
        <v>294</v>
      </c>
    </row>
    <row r="110" spans="1:11" s="189" customFormat="1" ht="15.75">
      <c r="A110" s="217" t="s">
        <v>216</v>
      </c>
      <c r="B110" s="280"/>
      <c r="C110" s="215">
        <v>6</v>
      </c>
      <c r="D110" s="215">
        <v>0.7</v>
      </c>
      <c r="E110" s="216">
        <v>64.5</v>
      </c>
      <c r="F110" s="183">
        <f ca="1" t="shared" si="17"/>
        <v>64.5</v>
      </c>
      <c r="G110" s="184">
        <f t="shared" si="18"/>
        <v>0</v>
      </c>
      <c r="H110" s="184">
        <f t="shared" si="21"/>
        <v>0</v>
      </c>
      <c r="I110" s="185">
        <f t="shared" si="19"/>
        <v>0</v>
      </c>
      <c r="J110" s="184">
        <f t="shared" si="20"/>
        <v>0</v>
      </c>
      <c r="K110" s="152" t="s">
        <v>294</v>
      </c>
    </row>
    <row r="111" spans="1:11" s="189" customFormat="1" ht="15.75">
      <c r="A111" s="217" t="s">
        <v>217</v>
      </c>
      <c r="B111" s="280"/>
      <c r="C111" s="215">
        <v>6</v>
      </c>
      <c r="D111" s="215">
        <v>0.7</v>
      </c>
      <c r="E111" s="216">
        <v>64.5</v>
      </c>
      <c r="F111" s="183">
        <f ca="1" t="shared" si="17"/>
        <v>64.5</v>
      </c>
      <c r="G111" s="184">
        <f t="shared" si="18"/>
        <v>0</v>
      </c>
      <c r="H111" s="184">
        <f t="shared" si="21"/>
        <v>0</v>
      </c>
      <c r="I111" s="185">
        <f t="shared" si="19"/>
        <v>0</v>
      </c>
      <c r="J111" s="184">
        <f t="shared" si="20"/>
        <v>0</v>
      </c>
      <c r="K111" s="152" t="s">
        <v>294</v>
      </c>
    </row>
    <row r="112" spans="1:11" s="189" customFormat="1" ht="15.75">
      <c r="A112" s="292" t="s">
        <v>324</v>
      </c>
      <c r="B112" s="298"/>
      <c r="C112" s="299">
        <v>6</v>
      </c>
      <c r="D112" s="299">
        <v>0.7</v>
      </c>
      <c r="E112" s="300">
        <v>92.75</v>
      </c>
      <c r="F112" s="295">
        <f ca="1" t="shared" si="17"/>
        <v>92.75</v>
      </c>
      <c r="G112" s="296">
        <f t="shared" si="18"/>
        <v>0</v>
      </c>
      <c r="H112" s="296">
        <f t="shared" si="21"/>
        <v>0</v>
      </c>
      <c r="I112" s="297">
        <f t="shared" si="19"/>
        <v>0</v>
      </c>
      <c r="J112" s="296">
        <f t="shared" si="20"/>
        <v>0</v>
      </c>
      <c r="K112" s="152" t="s">
        <v>294</v>
      </c>
    </row>
    <row r="113" spans="1:11" s="189" customFormat="1" ht="15.75">
      <c r="A113" s="292" t="s">
        <v>325</v>
      </c>
      <c r="B113" s="298"/>
      <c r="C113" s="299">
        <v>6</v>
      </c>
      <c r="D113" s="299">
        <v>0.7</v>
      </c>
      <c r="E113" s="300">
        <v>92.75</v>
      </c>
      <c r="F113" s="295">
        <f ca="1" t="shared" si="17"/>
        <v>92.75</v>
      </c>
      <c r="G113" s="296">
        <f t="shared" si="18"/>
        <v>0</v>
      </c>
      <c r="H113" s="296">
        <f t="shared" si="21"/>
        <v>0</v>
      </c>
      <c r="I113" s="297">
        <f t="shared" si="19"/>
        <v>0</v>
      </c>
      <c r="J113" s="296">
        <f t="shared" si="20"/>
        <v>0</v>
      </c>
      <c r="K113" s="152" t="s">
        <v>294</v>
      </c>
    </row>
    <row r="114" spans="1:11" s="189" customFormat="1" ht="15.75">
      <c r="A114" s="218" t="s">
        <v>220</v>
      </c>
      <c r="B114" s="280"/>
      <c r="C114" s="215">
        <v>6</v>
      </c>
      <c r="D114" s="215">
        <v>0.7</v>
      </c>
      <c r="E114" s="216">
        <v>92.75</v>
      </c>
      <c r="F114" s="183">
        <f ca="1" t="shared" si="17"/>
        <v>92.75</v>
      </c>
      <c r="G114" s="184">
        <f t="shared" si="18"/>
        <v>0</v>
      </c>
      <c r="H114" s="184">
        <f t="shared" si="21"/>
        <v>0</v>
      </c>
      <c r="I114" s="185">
        <f t="shared" si="19"/>
        <v>0</v>
      </c>
      <c r="J114" s="184">
        <f t="shared" si="20"/>
        <v>0</v>
      </c>
      <c r="K114" s="152" t="s">
        <v>294</v>
      </c>
    </row>
    <row r="115" spans="1:11" s="189" customFormat="1" ht="15.75">
      <c r="A115" s="294" t="s">
        <v>328</v>
      </c>
      <c r="B115" s="298"/>
      <c r="C115" s="299">
        <v>6</v>
      </c>
      <c r="D115" s="299">
        <v>0.7</v>
      </c>
      <c r="E115" s="300">
        <v>92.75</v>
      </c>
      <c r="F115" s="295">
        <f ca="1" t="shared" si="17"/>
        <v>92.75</v>
      </c>
      <c r="G115" s="296">
        <f t="shared" si="18"/>
        <v>0</v>
      </c>
      <c r="H115" s="296">
        <f t="shared" si="21"/>
        <v>0</v>
      </c>
      <c r="I115" s="297">
        <f t="shared" si="19"/>
        <v>0</v>
      </c>
      <c r="J115" s="296">
        <f t="shared" si="20"/>
        <v>0</v>
      </c>
      <c r="K115" s="152" t="s">
        <v>294</v>
      </c>
    </row>
    <row r="116" spans="1:11" s="189" customFormat="1" ht="15.75">
      <c r="A116" s="219" t="s">
        <v>221</v>
      </c>
      <c r="B116" s="280"/>
      <c r="C116" s="215">
        <v>6</v>
      </c>
      <c r="D116" s="215">
        <v>3</v>
      </c>
      <c r="E116" s="220">
        <v>221.17</v>
      </c>
      <c r="F116" s="183">
        <f ca="1" t="shared" si="17"/>
        <v>221.17</v>
      </c>
      <c r="G116" s="184">
        <f t="shared" si="18"/>
        <v>0</v>
      </c>
      <c r="H116" s="184">
        <f aca="true" t="shared" si="22" ref="H116:H121">18.8*B116</f>
        <v>0</v>
      </c>
      <c r="I116" s="185">
        <f t="shared" si="19"/>
        <v>0</v>
      </c>
      <c r="J116" s="184">
        <f t="shared" si="20"/>
        <v>0</v>
      </c>
      <c r="K116" s="152" t="s">
        <v>294</v>
      </c>
    </row>
    <row r="117" spans="1:11" s="189" customFormat="1" ht="15.75">
      <c r="A117" s="219" t="s">
        <v>222</v>
      </c>
      <c r="B117" s="280"/>
      <c r="C117" s="215">
        <v>6</v>
      </c>
      <c r="D117" s="215">
        <v>3</v>
      </c>
      <c r="E117" s="220">
        <v>221.17</v>
      </c>
      <c r="F117" s="183">
        <f ca="1" t="shared" si="17"/>
        <v>221.17</v>
      </c>
      <c r="G117" s="184">
        <f t="shared" si="18"/>
        <v>0</v>
      </c>
      <c r="H117" s="184">
        <f t="shared" si="22"/>
        <v>0</v>
      </c>
      <c r="I117" s="185">
        <f t="shared" si="19"/>
        <v>0</v>
      </c>
      <c r="J117" s="184">
        <f t="shared" si="20"/>
        <v>0</v>
      </c>
      <c r="K117" s="152" t="s">
        <v>294</v>
      </c>
    </row>
    <row r="118" spans="1:11" s="189" customFormat="1" ht="15.75">
      <c r="A118" s="219" t="s">
        <v>223</v>
      </c>
      <c r="B118" s="280"/>
      <c r="C118" s="215">
        <v>6</v>
      </c>
      <c r="D118" s="215">
        <v>3</v>
      </c>
      <c r="E118" s="220">
        <v>221.17</v>
      </c>
      <c r="F118" s="183">
        <f ca="1" t="shared" si="17"/>
        <v>221.17</v>
      </c>
      <c r="G118" s="184">
        <f t="shared" si="18"/>
        <v>0</v>
      </c>
      <c r="H118" s="184">
        <f t="shared" si="22"/>
        <v>0</v>
      </c>
      <c r="I118" s="185">
        <f t="shared" si="19"/>
        <v>0</v>
      </c>
      <c r="J118" s="184">
        <f t="shared" si="20"/>
        <v>0</v>
      </c>
      <c r="K118" s="152" t="s">
        <v>294</v>
      </c>
    </row>
    <row r="119" spans="1:11" s="189" customFormat="1" ht="15.75">
      <c r="A119" s="219" t="s">
        <v>224</v>
      </c>
      <c r="B119" s="280"/>
      <c r="C119" s="215">
        <v>6</v>
      </c>
      <c r="D119" s="215">
        <v>3</v>
      </c>
      <c r="E119" s="220">
        <v>227.17</v>
      </c>
      <c r="F119" s="183">
        <f ca="1" t="shared" si="17"/>
        <v>227.17</v>
      </c>
      <c r="G119" s="184">
        <f t="shared" si="18"/>
        <v>0</v>
      </c>
      <c r="H119" s="184">
        <f t="shared" si="22"/>
        <v>0</v>
      </c>
      <c r="I119" s="185">
        <f t="shared" si="19"/>
        <v>0</v>
      </c>
      <c r="J119" s="184">
        <f t="shared" si="20"/>
        <v>0</v>
      </c>
      <c r="K119" s="152" t="s">
        <v>294</v>
      </c>
    </row>
    <row r="120" spans="1:11" s="189" customFormat="1" ht="15.75">
      <c r="A120" s="301" t="s">
        <v>329</v>
      </c>
      <c r="B120" s="298"/>
      <c r="C120" s="299">
        <v>6</v>
      </c>
      <c r="D120" s="299">
        <v>3</v>
      </c>
      <c r="E120" s="302">
        <v>221.17</v>
      </c>
      <c r="F120" s="295">
        <f ca="1" t="shared" si="17"/>
        <v>221.17</v>
      </c>
      <c r="G120" s="296">
        <f t="shared" si="18"/>
        <v>0</v>
      </c>
      <c r="H120" s="296">
        <f t="shared" si="22"/>
        <v>0</v>
      </c>
      <c r="I120" s="297">
        <f t="shared" si="19"/>
        <v>0</v>
      </c>
      <c r="J120" s="296">
        <f t="shared" si="20"/>
        <v>0</v>
      </c>
      <c r="K120" s="152" t="s">
        <v>294</v>
      </c>
    </row>
    <row r="121" spans="1:11" s="189" customFormat="1" ht="15.75">
      <c r="A121" s="301" t="s">
        <v>330</v>
      </c>
      <c r="B121" s="298"/>
      <c r="C121" s="299">
        <v>6</v>
      </c>
      <c r="D121" s="299">
        <v>3</v>
      </c>
      <c r="E121" s="302">
        <v>221.17</v>
      </c>
      <c r="F121" s="295">
        <f ca="1" t="shared" si="17"/>
        <v>221.17</v>
      </c>
      <c r="G121" s="296">
        <f t="shared" si="18"/>
        <v>0</v>
      </c>
      <c r="H121" s="296">
        <f t="shared" si="22"/>
        <v>0</v>
      </c>
      <c r="I121" s="297">
        <f t="shared" si="19"/>
        <v>0</v>
      </c>
      <c r="J121" s="296">
        <f t="shared" si="20"/>
        <v>0</v>
      </c>
      <c r="K121" s="152" t="s">
        <v>294</v>
      </c>
    </row>
    <row r="122" spans="1:11" s="189" customFormat="1" ht="15.75">
      <c r="A122" s="221" t="s">
        <v>189</v>
      </c>
      <c r="B122" s="282"/>
      <c r="C122" s="222"/>
      <c r="D122" s="222"/>
      <c r="E122" s="220"/>
      <c r="F122" s="183">
        <f ca="1" t="shared" si="17"/>
        <v>0</v>
      </c>
      <c r="G122" s="184"/>
      <c r="H122" s="184"/>
      <c r="I122" s="185"/>
      <c r="J122" s="184"/>
      <c r="K122" s="152" t="s">
        <v>294</v>
      </c>
    </row>
    <row r="123" spans="1:11" s="189" customFormat="1" ht="15.75">
      <c r="A123" s="218" t="s">
        <v>225</v>
      </c>
      <c r="B123" s="280"/>
      <c r="C123" s="215">
        <v>12</v>
      </c>
      <c r="D123" s="215">
        <v>1</v>
      </c>
      <c r="E123" s="216">
        <v>54.06</v>
      </c>
      <c r="F123" s="183">
        <f ca="1" t="shared" si="17"/>
        <v>54.06</v>
      </c>
      <c r="G123" s="184">
        <f aca="true" t="shared" si="23" ref="G123:G131">B123*C123</f>
        <v>0</v>
      </c>
      <c r="H123" s="184">
        <f>12.8*B123</f>
        <v>0</v>
      </c>
      <c r="I123" s="185">
        <f aca="true" t="shared" si="24" ref="I123:I131">G123*F123</f>
        <v>0</v>
      </c>
      <c r="J123" s="184">
        <f aca="true" t="shared" si="25" ref="J123:J131">(G123*D123)/10</f>
        <v>0</v>
      </c>
      <c r="K123" s="152" t="s">
        <v>294</v>
      </c>
    </row>
    <row r="124" spans="1:11" s="189" customFormat="1" ht="15.75">
      <c r="A124" s="218" t="s">
        <v>226</v>
      </c>
      <c r="B124" s="280"/>
      <c r="C124" s="215">
        <v>12</v>
      </c>
      <c r="D124" s="215">
        <v>1</v>
      </c>
      <c r="E124" s="216">
        <v>54.06</v>
      </c>
      <c r="F124" s="183">
        <f ca="1" t="shared" si="17"/>
        <v>54.06</v>
      </c>
      <c r="G124" s="184">
        <f t="shared" si="23"/>
        <v>0</v>
      </c>
      <c r="H124" s="184">
        <f aca="true" t="shared" si="26" ref="H124:H130">12.8*B124</f>
        <v>0</v>
      </c>
      <c r="I124" s="185">
        <f t="shared" si="24"/>
        <v>0</v>
      </c>
      <c r="J124" s="184">
        <f t="shared" si="25"/>
        <v>0</v>
      </c>
      <c r="K124" s="152" t="s">
        <v>294</v>
      </c>
    </row>
    <row r="125" spans="1:11" s="189" customFormat="1" ht="15.75">
      <c r="A125" s="218" t="s">
        <v>227</v>
      </c>
      <c r="B125" s="280"/>
      <c r="C125" s="215">
        <v>12</v>
      </c>
      <c r="D125" s="215">
        <v>1</v>
      </c>
      <c r="E125" s="216">
        <v>54.06</v>
      </c>
      <c r="F125" s="183">
        <f ca="1" t="shared" si="17"/>
        <v>54.06</v>
      </c>
      <c r="G125" s="184">
        <f t="shared" si="23"/>
        <v>0</v>
      </c>
      <c r="H125" s="184">
        <f t="shared" si="26"/>
        <v>0</v>
      </c>
      <c r="I125" s="185">
        <f t="shared" si="24"/>
        <v>0</v>
      </c>
      <c r="J125" s="184">
        <f t="shared" si="25"/>
        <v>0</v>
      </c>
      <c r="K125" s="152" t="s">
        <v>294</v>
      </c>
    </row>
    <row r="126" spans="1:11" s="189" customFormat="1" ht="15.75">
      <c r="A126" s="218" t="s">
        <v>188</v>
      </c>
      <c r="B126" s="280"/>
      <c r="C126" s="215">
        <v>12</v>
      </c>
      <c r="D126" s="215">
        <v>1</v>
      </c>
      <c r="E126" s="216">
        <v>54.06</v>
      </c>
      <c r="F126" s="183">
        <f ca="1" t="shared" si="17"/>
        <v>54.06</v>
      </c>
      <c r="G126" s="184">
        <f t="shared" si="23"/>
        <v>0</v>
      </c>
      <c r="H126" s="184">
        <f t="shared" si="26"/>
        <v>0</v>
      </c>
      <c r="I126" s="185">
        <f t="shared" si="24"/>
        <v>0</v>
      </c>
      <c r="J126" s="184">
        <f t="shared" si="25"/>
        <v>0</v>
      </c>
      <c r="K126" s="152" t="s">
        <v>294</v>
      </c>
    </row>
    <row r="127" spans="1:11" s="189" customFormat="1" ht="15.75">
      <c r="A127" s="218" t="s">
        <v>228</v>
      </c>
      <c r="B127" s="280"/>
      <c r="C127" s="215">
        <v>12</v>
      </c>
      <c r="D127" s="215">
        <v>1</v>
      </c>
      <c r="E127" s="216">
        <v>54.06</v>
      </c>
      <c r="F127" s="183">
        <f ca="1" t="shared" si="17"/>
        <v>54.06</v>
      </c>
      <c r="G127" s="184">
        <f t="shared" si="23"/>
        <v>0</v>
      </c>
      <c r="H127" s="184">
        <f t="shared" si="26"/>
        <v>0</v>
      </c>
      <c r="I127" s="185">
        <f t="shared" si="24"/>
        <v>0</v>
      </c>
      <c r="J127" s="184">
        <f t="shared" si="25"/>
        <v>0</v>
      </c>
      <c r="K127" s="152" t="s">
        <v>294</v>
      </c>
    </row>
    <row r="128" spans="1:11" s="189" customFormat="1" ht="15.75">
      <c r="A128" s="218" t="s">
        <v>229</v>
      </c>
      <c r="B128" s="280"/>
      <c r="C128" s="215">
        <v>12</v>
      </c>
      <c r="D128" s="215">
        <v>1</v>
      </c>
      <c r="E128" s="216">
        <v>54.06</v>
      </c>
      <c r="F128" s="183">
        <f ca="1" t="shared" si="17"/>
        <v>54.06</v>
      </c>
      <c r="G128" s="184">
        <f t="shared" si="23"/>
        <v>0</v>
      </c>
      <c r="H128" s="184">
        <f t="shared" si="26"/>
        <v>0</v>
      </c>
      <c r="I128" s="185">
        <f t="shared" si="24"/>
        <v>0</v>
      </c>
      <c r="J128" s="184">
        <f t="shared" si="25"/>
        <v>0</v>
      </c>
      <c r="K128" s="152" t="s">
        <v>294</v>
      </c>
    </row>
    <row r="129" spans="1:11" s="189" customFormat="1" ht="15.75">
      <c r="A129" s="218" t="s">
        <v>230</v>
      </c>
      <c r="B129" s="280"/>
      <c r="C129" s="215">
        <v>12</v>
      </c>
      <c r="D129" s="215">
        <v>1</v>
      </c>
      <c r="E129" s="216">
        <v>54.06</v>
      </c>
      <c r="F129" s="183">
        <f ca="1" t="shared" si="17"/>
        <v>54.06</v>
      </c>
      <c r="G129" s="184">
        <f t="shared" si="23"/>
        <v>0</v>
      </c>
      <c r="H129" s="184">
        <f t="shared" si="26"/>
        <v>0</v>
      </c>
      <c r="I129" s="185">
        <f t="shared" si="24"/>
        <v>0</v>
      </c>
      <c r="J129" s="184">
        <f t="shared" si="25"/>
        <v>0</v>
      </c>
      <c r="K129" s="152" t="s">
        <v>294</v>
      </c>
    </row>
    <row r="130" spans="1:11" s="189" customFormat="1" ht="15.75">
      <c r="A130" s="218" t="s">
        <v>231</v>
      </c>
      <c r="B130" s="280"/>
      <c r="C130" s="215">
        <v>12</v>
      </c>
      <c r="D130" s="215">
        <v>1</v>
      </c>
      <c r="E130" s="216">
        <v>54.06</v>
      </c>
      <c r="F130" s="183">
        <f ca="1" t="shared" si="17"/>
        <v>54.06</v>
      </c>
      <c r="G130" s="184">
        <f t="shared" si="23"/>
        <v>0</v>
      </c>
      <c r="H130" s="184">
        <f t="shared" si="26"/>
        <v>0</v>
      </c>
      <c r="I130" s="185">
        <f t="shared" si="24"/>
        <v>0</v>
      </c>
      <c r="J130" s="184">
        <f t="shared" si="25"/>
        <v>0</v>
      </c>
      <c r="K130" s="152" t="s">
        <v>294</v>
      </c>
    </row>
    <row r="131" spans="1:11" s="189" customFormat="1" ht="15.75">
      <c r="A131" s="218" t="s">
        <v>232</v>
      </c>
      <c r="B131" s="280"/>
      <c r="C131" s="215">
        <v>6</v>
      </c>
      <c r="D131" s="215">
        <v>1</v>
      </c>
      <c r="E131" s="216">
        <v>105.3</v>
      </c>
      <c r="F131" s="183">
        <f ca="1" t="shared" si="17"/>
        <v>105.3</v>
      </c>
      <c r="G131" s="184">
        <f t="shared" si="23"/>
        <v>0</v>
      </c>
      <c r="H131" s="184">
        <f>10*B131</f>
        <v>0</v>
      </c>
      <c r="I131" s="185">
        <f t="shared" si="24"/>
        <v>0</v>
      </c>
      <c r="J131" s="184">
        <f t="shared" si="25"/>
        <v>0</v>
      </c>
      <c r="K131" s="152" t="s">
        <v>294</v>
      </c>
    </row>
    <row r="132" spans="1:11" s="189" customFormat="1" ht="15.75">
      <c r="A132" s="221" t="s">
        <v>193</v>
      </c>
      <c r="B132" s="282"/>
      <c r="C132" s="222"/>
      <c r="D132" s="222"/>
      <c r="E132" s="216"/>
      <c r="F132" s="183">
        <f ca="1" t="shared" si="17"/>
        <v>0</v>
      </c>
      <c r="G132" s="184"/>
      <c r="H132" s="184"/>
      <c r="I132" s="185"/>
      <c r="J132" s="184"/>
      <c r="K132" s="152" t="s">
        <v>294</v>
      </c>
    </row>
    <row r="133" spans="1:11" s="189" customFormat="1" ht="31.5">
      <c r="A133" s="218" t="s">
        <v>233</v>
      </c>
      <c r="B133" s="280"/>
      <c r="C133" s="215">
        <v>12</v>
      </c>
      <c r="D133" s="215">
        <v>1</v>
      </c>
      <c r="E133" s="216">
        <v>54.06</v>
      </c>
      <c r="F133" s="183">
        <f ca="1" t="shared" si="17"/>
        <v>54.06</v>
      </c>
      <c r="G133" s="184">
        <f aca="true" t="shared" si="27" ref="G133:G144">B133*C133</f>
        <v>0</v>
      </c>
      <c r="H133" s="184">
        <f>12.8*B133</f>
        <v>0</v>
      </c>
      <c r="I133" s="185">
        <f aca="true" t="shared" si="28" ref="I133:I144">G133*F133</f>
        <v>0</v>
      </c>
      <c r="J133" s="184">
        <f aca="true" t="shared" si="29" ref="J133:J144">(G133*D133)/10</f>
        <v>0</v>
      </c>
      <c r="K133" s="152" t="s">
        <v>294</v>
      </c>
    </row>
    <row r="134" spans="1:11" s="189" customFormat="1" ht="31.5">
      <c r="A134" s="218" t="s">
        <v>234</v>
      </c>
      <c r="B134" s="280"/>
      <c r="C134" s="215">
        <v>12</v>
      </c>
      <c r="D134" s="215">
        <v>1</v>
      </c>
      <c r="E134" s="216">
        <v>54.06</v>
      </c>
      <c r="F134" s="183">
        <f ca="1" t="shared" si="17"/>
        <v>54.06</v>
      </c>
      <c r="G134" s="184">
        <f t="shared" si="27"/>
        <v>0</v>
      </c>
      <c r="H134" s="184">
        <f>12.8*B134</f>
        <v>0</v>
      </c>
      <c r="I134" s="185">
        <f t="shared" si="28"/>
        <v>0</v>
      </c>
      <c r="J134" s="184">
        <f t="shared" si="29"/>
        <v>0</v>
      </c>
      <c r="K134" s="152" t="s">
        <v>294</v>
      </c>
    </row>
    <row r="135" spans="1:11" s="189" customFormat="1" ht="15.75">
      <c r="A135" s="218" t="s">
        <v>235</v>
      </c>
      <c r="B135" s="280"/>
      <c r="C135" s="215">
        <v>12</v>
      </c>
      <c r="D135" s="215">
        <v>1</v>
      </c>
      <c r="E135" s="216">
        <v>54.06</v>
      </c>
      <c r="F135" s="183">
        <f ca="1" t="shared" si="17"/>
        <v>54.06</v>
      </c>
      <c r="G135" s="184">
        <f t="shared" si="27"/>
        <v>0</v>
      </c>
      <c r="H135" s="184">
        <f>12.8*B135</f>
        <v>0</v>
      </c>
      <c r="I135" s="185">
        <f t="shared" si="28"/>
        <v>0</v>
      </c>
      <c r="J135" s="184">
        <f t="shared" si="29"/>
        <v>0</v>
      </c>
      <c r="K135" s="152" t="s">
        <v>294</v>
      </c>
    </row>
    <row r="136" spans="1:11" s="189" customFormat="1" ht="31.5">
      <c r="A136" s="218" t="s">
        <v>236</v>
      </c>
      <c r="B136" s="280"/>
      <c r="C136" s="215">
        <v>12</v>
      </c>
      <c r="D136" s="215">
        <v>1</v>
      </c>
      <c r="E136" s="216">
        <v>54.06</v>
      </c>
      <c r="F136" s="183">
        <f ca="1" t="shared" si="17"/>
        <v>54.06</v>
      </c>
      <c r="G136" s="184">
        <f t="shared" si="27"/>
        <v>0</v>
      </c>
      <c r="H136" s="184">
        <f>12.8*B136</f>
        <v>0</v>
      </c>
      <c r="I136" s="185">
        <f t="shared" si="28"/>
        <v>0</v>
      </c>
      <c r="J136" s="184">
        <f t="shared" si="29"/>
        <v>0</v>
      </c>
      <c r="K136" s="152" t="s">
        <v>294</v>
      </c>
    </row>
    <row r="137" spans="1:11" s="189" customFormat="1" ht="31.5">
      <c r="A137" s="218" t="s">
        <v>233</v>
      </c>
      <c r="B137" s="280"/>
      <c r="C137" s="215">
        <v>6</v>
      </c>
      <c r="D137" s="215">
        <v>2</v>
      </c>
      <c r="E137" s="216">
        <v>121.9</v>
      </c>
      <c r="F137" s="183">
        <f ca="1" t="shared" si="17"/>
        <v>121.9</v>
      </c>
      <c r="G137" s="184">
        <f t="shared" si="27"/>
        <v>0</v>
      </c>
      <c r="H137" s="184">
        <f>13.3*B137</f>
        <v>0</v>
      </c>
      <c r="I137" s="185">
        <f t="shared" si="28"/>
        <v>0</v>
      </c>
      <c r="J137" s="184">
        <f t="shared" si="29"/>
        <v>0</v>
      </c>
      <c r="K137" s="152" t="s">
        <v>294</v>
      </c>
    </row>
    <row r="138" spans="1:11" s="189" customFormat="1" ht="31.5">
      <c r="A138" s="218" t="s">
        <v>234</v>
      </c>
      <c r="B138" s="280"/>
      <c r="C138" s="215">
        <v>6</v>
      </c>
      <c r="D138" s="215">
        <v>2</v>
      </c>
      <c r="E138" s="216">
        <v>121.9</v>
      </c>
      <c r="F138" s="183">
        <f ca="1" t="shared" si="17"/>
        <v>121.9</v>
      </c>
      <c r="G138" s="184">
        <f t="shared" si="27"/>
        <v>0</v>
      </c>
      <c r="H138" s="184">
        <f>13.3*B138</f>
        <v>0</v>
      </c>
      <c r="I138" s="185">
        <f t="shared" si="28"/>
        <v>0</v>
      </c>
      <c r="J138" s="184">
        <f t="shared" si="29"/>
        <v>0</v>
      </c>
      <c r="K138" s="152" t="s">
        <v>294</v>
      </c>
    </row>
    <row r="139" spans="1:11" s="189" customFormat="1" ht="15.75">
      <c r="A139" s="218" t="s">
        <v>235</v>
      </c>
      <c r="B139" s="280"/>
      <c r="C139" s="215">
        <v>6</v>
      </c>
      <c r="D139" s="215">
        <v>2</v>
      </c>
      <c r="E139" s="216">
        <v>121.9</v>
      </c>
      <c r="F139" s="183">
        <f ca="1" t="shared" si="17"/>
        <v>121.9</v>
      </c>
      <c r="G139" s="184">
        <f t="shared" si="27"/>
        <v>0</v>
      </c>
      <c r="H139" s="184">
        <f>13.3*B139</f>
        <v>0</v>
      </c>
      <c r="I139" s="185">
        <f t="shared" si="28"/>
        <v>0</v>
      </c>
      <c r="J139" s="184">
        <f t="shared" si="29"/>
        <v>0</v>
      </c>
      <c r="K139" s="152" t="s">
        <v>294</v>
      </c>
    </row>
    <row r="140" spans="1:11" s="189" customFormat="1" ht="31.5">
      <c r="A140" s="218" t="s">
        <v>236</v>
      </c>
      <c r="B140" s="280"/>
      <c r="C140" s="215">
        <v>6</v>
      </c>
      <c r="D140" s="215">
        <v>2</v>
      </c>
      <c r="E140" s="216">
        <v>121.9</v>
      </c>
      <c r="F140" s="183">
        <f ca="1" t="shared" si="17"/>
        <v>121.9</v>
      </c>
      <c r="G140" s="184">
        <f t="shared" si="27"/>
        <v>0</v>
      </c>
      <c r="H140" s="184">
        <f>13.3*B140</f>
        <v>0</v>
      </c>
      <c r="I140" s="185">
        <f t="shared" si="28"/>
        <v>0</v>
      </c>
      <c r="J140" s="184">
        <f t="shared" si="29"/>
        <v>0</v>
      </c>
      <c r="K140" s="152" t="s">
        <v>294</v>
      </c>
    </row>
    <row r="141" spans="1:11" s="189" customFormat="1" ht="31.5">
      <c r="A141" s="218" t="s">
        <v>233</v>
      </c>
      <c r="B141" s="280"/>
      <c r="C141" s="215">
        <v>1</v>
      </c>
      <c r="D141" s="215">
        <v>10</v>
      </c>
      <c r="E141" s="216">
        <v>556.5</v>
      </c>
      <c r="F141" s="183">
        <f ca="1" t="shared" si="17"/>
        <v>556.5</v>
      </c>
      <c r="G141" s="184">
        <f t="shared" si="27"/>
        <v>0</v>
      </c>
      <c r="H141" s="184">
        <f>7.579*B141</f>
        <v>0</v>
      </c>
      <c r="I141" s="185">
        <f t="shared" si="28"/>
        <v>0</v>
      </c>
      <c r="J141" s="184">
        <f t="shared" si="29"/>
        <v>0</v>
      </c>
      <c r="K141" s="152" t="s">
        <v>294</v>
      </c>
    </row>
    <row r="142" spans="1:11" s="189" customFormat="1" ht="31.5">
      <c r="A142" s="218" t="s">
        <v>234</v>
      </c>
      <c r="B142" s="280"/>
      <c r="C142" s="215">
        <v>1</v>
      </c>
      <c r="D142" s="215">
        <v>10</v>
      </c>
      <c r="E142" s="216">
        <v>556.5</v>
      </c>
      <c r="F142" s="183">
        <f ca="1" t="shared" si="17"/>
        <v>556.5</v>
      </c>
      <c r="G142" s="184">
        <f t="shared" si="27"/>
        <v>0</v>
      </c>
      <c r="H142" s="184">
        <f>7.579*B142</f>
        <v>0</v>
      </c>
      <c r="I142" s="185">
        <f t="shared" si="28"/>
        <v>0</v>
      </c>
      <c r="J142" s="184">
        <f t="shared" si="29"/>
        <v>0</v>
      </c>
      <c r="K142" s="152" t="s">
        <v>294</v>
      </c>
    </row>
    <row r="143" spans="1:11" s="189" customFormat="1" ht="15.75">
      <c r="A143" s="218" t="s">
        <v>235</v>
      </c>
      <c r="B143" s="280"/>
      <c r="C143" s="215">
        <v>1</v>
      </c>
      <c r="D143" s="215">
        <v>10</v>
      </c>
      <c r="E143" s="216">
        <v>556.5</v>
      </c>
      <c r="F143" s="183">
        <f ca="1" t="shared" si="17"/>
        <v>556.5</v>
      </c>
      <c r="G143" s="184">
        <f t="shared" si="27"/>
        <v>0</v>
      </c>
      <c r="H143" s="184">
        <f>7.579*B143</f>
        <v>0</v>
      </c>
      <c r="I143" s="185">
        <f t="shared" si="28"/>
        <v>0</v>
      </c>
      <c r="J143" s="184">
        <f t="shared" si="29"/>
        <v>0</v>
      </c>
      <c r="K143" s="152" t="s">
        <v>294</v>
      </c>
    </row>
    <row r="144" spans="1:11" s="189" customFormat="1" ht="31.5">
      <c r="A144" s="218" t="s">
        <v>236</v>
      </c>
      <c r="B144" s="280"/>
      <c r="C144" s="215">
        <v>1</v>
      </c>
      <c r="D144" s="215">
        <v>10</v>
      </c>
      <c r="E144" s="216">
        <v>556.5</v>
      </c>
      <c r="F144" s="183">
        <f ca="1" t="shared" si="17"/>
        <v>556.5</v>
      </c>
      <c r="G144" s="184">
        <f t="shared" si="27"/>
        <v>0</v>
      </c>
      <c r="H144" s="184">
        <f>7.579*B144</f>
        <v>0</v>
      </c>
      <c r="I144" s="185">
        <f t="shared" si="28"/>
        <v>0</v>
      </c>
      <c r="J144" s="184">
        <f t="shared" si="29"/>
        <v>0</v>
      </c>
      <c r="K144" s="152" t="s">
        <v>294</v>
      </c>
    </row>
    <row r="145" spans="1:11" s="189" customFormat="1" ht="15.75">
      <c r="A145" s="221" t="s">
        <v>194</v>
      </c>
      <c r="B145" s="282"/>
      <c r="C145" s="222"/>
      <c r="D145" s="222"/>
      <c r="E145" s="216"/>
      <c r="F145" s="183">
        <f ca="1" t="shared" si="17"/>
        <v>0</v>
      </c>
      <c r="G145" s="184"/>
      <c r="H145" s="184"/>
      <c r="I145" s="185"/>
      <c r="J145" s="184"/>
      <c r="K145" s="152" t="s">
        <v>294</v>
      </c>
    </row>
    <row r="146" spans="1:11" s="189" customFormat="1" ht="15.75">
      <c r="A146" s="217" t="s">
        <v>237</v>
      </c>
      <c r="B146" s="280"/>
      <c r="C146" s="215">
        <v>6</v>
      </c>
      <c r="D146" s="215">
        <v>3</v>
      </c>
      <c r="E146" s="216">
        <v>196.1</v>
      </c>
      <c r="F146" s="183">
        <f ca="1" t="shared" si="17"/>
        <v>196.1</v>
      </c>
      <c r="G146" s="184">
        <f aca="true" t="shared" si="30" ref="G146:G161">B146*C146</f>
        <v>0</v>
      </c>
      <c r="H146" s="184">
        <f>18.8*B146</f>
        <v>0</v>
      </c>
      <c r="I146" s="185">
        <f aca="true" t="shared" si="31" ref="I146:I161">G146*F146</f>
        <v>0</v>
      </c>
      <c r="J146" s="184">
        <f aca="true" t="shared" si="32" ref="J146:J161">(G146*D146)/10</f>
        <v>0</v>
      </c>
      <c r="K146" s="152" t="s">
        <v>294</v>
      </c>
    </row>
    <row r="147" spans="1:11" s="189" customFormat="1" ht="15.75">
      <c r="A147" s="217" t="s">
        <v>238</v>
      </c>
      <c r="B147" s="280"/>
      <c r="C147" s="215">
        <v>6</v>
      </c>
      <c r="D147" s="215">
        <v>3</v>
      </c>
      <c r="E147" s="216">
        <v>196.1</v>
      </c>
      <c r="F147" s="183">
        <f ca="1" t="shared" si="17"/>
        <v>196.1</v>
      </c>
      <c r="G147" s="184">
        <f t="shared" si="30"/>
        <v>0</v>
      </c>
      <c r="H147" s="184">
        <f>18.8*B147</f>
        <v>0</v>
      </c>
      <c r="I147" s="185">
        <f t="shared" si="31"/>
        <v>0</v>
      </c>
      <c r="J147" s="184">
        <f t="shared" si="32"/>
        <v>0</v>
      </c>
      <c r="K147" s="152" t="s">
        <v>294</v>
      </c>
    </row>
    <row r="148" spans="1:11" s="189" customFormat="1" ht="15.75">
      <c r="A148" s="217" t="s">
        <v>239</v>
      </c>
      <c r="B148" s="280"/>
      <c r="C148" s="215">
        <v>6</v>
      </c>
      <c r="D148" s="215">
        <v>3</v>
      </c>
      <c r="E148" s="216">
        <v>196.1</v>
      </c>
      <c r="F148" s="183">
        <f ca="1" t="shared" si="17"/>
        <v>196.1</v>
      </c>
      <c r="G148" s="184">
        <f t="shared" si="30"/>
        <v>0</v>
      </c>
      <c r="H148" s="184">
        <f>18.8*B148</f>
        <v>0</v>
      </c>
      <c r="I148" s="185">
        <f t="shared" si="31"/>
        <v>0</v>
      </c>
      <c r="J148" s="184">
        <f t="shared" si="32"/>
        <v>0</v>
      </c>
      <c r="K148" s="152" t="s">
        <v>294</v>
      </c>
    </row>
    <row r="149" spans="1:11" s="189" customFormat="1" ht="15.75">
      <c r="A149" s="217" t="s">
        <v>212</v>
      </c>
      <c r="B149" s="280"/>
      <c r="C149" s="215">
        <v>6</v>
      </c>
      <c r="D149" s="215">
        <v>3</v>
      </c>
      <c r="E149" s="216">
        <v>196.1</v>
      </c>
      <c r="F149" s="183">
        <f ca="1" t="shared" si="17"/>
        <v>196.1</v>
      </c>
      <c r="G149" s="184">
        <f t="shared" si="30"/>
        <v>0</v>
      </c>
      <c r="H149" s="184">
        <f>18.8*B149</f>
        <v>0</v>
      </c>
      <c r="I149" s="185">
        <f t="shared" si="31"/>
        <v>0</v>
      </c>
      <c r="J149" s="184">
        <f t="shared" si="32"/>
        <v>0</v>
      </c>
      <c r="K149" s="152" t="s">
        <v>294</v>
      </c>
    </row>
    <row r="150" spans="1:11" s="189" customFormat="1" ht="15.75">
      <c r="A150" s="217" t="s">
        <v>240</v>
      </c>
      <c r="B150" s="280"/>
      <c r="C150" s="215">
        <v>6</v>
      </c>
      <c r="D150" s="215">
        <v>2</v>
      </c>
      <c r="E150" s="216">
        <v>121.9</v>
      </c>
      <c r="F150" s="183">
        <f ca="1" t="shared" si="17"/>
        <v>121.9</v>
      </c>
      <c r="G150" s="184">
        <f t="shared" si="30"/>
        <v>0</v>
      </c>
      <c r="H150" s="184">
        <f>13.3*B150</f>
        <v>0</v>
      </c>
      <c r="I150" s="185">
        <f t="shared" si="31"/>
        <v>0</v>
      </c>
      <c r="J150" s="184">
        <f t="shared" si="32"/>
        <v>0</v>
      </c>
      <c r="K150" s="152" t="s">
        <v>294</v>
      </c>
    </row>
    <row r="151" spans="1:11" s="189" customFormat="1" ht="15.75">
      <c r="A151" s="217" t="s">
        <v>241</v>
      </c>
      <c r="B151" s="280"/>
      <c r="C151" s="215">
        <v>6</v>
      </c>
      <c r="D151" s="215">
        <v>0.7</v>
      </c>
      <c r="E151" s="216">
        <v>54</v>
      </c>
      <c r="F151" s="183">
        <f ca="1" t="shared" si="17"/>
        <v>54</v>
      </c>
      <c r="G151" s="184">
        <f t="shared" si="30"/>
        <v>0</v>
      </c>
      <c r="H151" s="184">
        <f>7.5*B151</f>
        <v>0</v>
      </c>
      <c r="I151" s="185">
        <f t="shared" si="31"/>
        <v>0</v>
      </c>
      <c r="J151" s="184">
        <f t="shared" si="32"/>
        <v>0</v>
      </c>
      <c r="K151" s="152" t="s">
        <v>294</v>
      </c>
    </row>
    <row r="152" spans="1:11" s="189" customFormat="1" ht="15.75">
      <c r="A152" s="217" t="s">
        <v>242</v>
      </c>
      <c r="B152" s="280"/>
      <c r="C152" s="215">
        <v>6</v>
      </c>
      <c r="D152" s="215">
        <v>0.7</v>
      </c>
      <c r="E152" s="216">
        <v>54</v>
      </c>
      <c r="F152" s="183">
        <f ca="1" t="shared" si="17"/>
        <v>54</v>
      </c>
      <c r="G152" s="184">
        <f t="shared" si="30"/>
        <v>0</v>
      </c>
      <c r="H152" s="184">
        <f>7.5*B152</f>
        <v>0</v>
      </c>
      <c r="I152" s="185">
        <f t="shared" si="31"/>
        <v>0</v>
      </c>
      <c r="J152" s="184">
        <f t="shared" si="32"/>
        <v>0</v>
      </c>
      <c r="K152" s="152" t="s">
        <v>294</v>
      </c>
    </row>
    <row r="153" spans="1:11" s="189" customFormat="1" ht="15.75">
      <c r="A153" s="217" t="s">
        <v>239</v>
      </c>
      <c r="B153" s="280"/>
      <c r="C153" s="215">
        <v>6</v>
      </c>
      <c r="D153" s="215">
        <v>0.7</v>
      </c>
      <c r="E153" s="216">
        <v>54</v>
      </c>
      <c r="F153" s="183">
        <f ca="1" t="shared" si="17"/>
        <v>54</v>
      </c>
      <c r="G153" s="184">
        <f t="shared" si="30"/>
        <v>0</v>
      </c>
      <c r="H153" s="184">
        <f aca="true" t="shared" si="33" ref="H153:H161">7.5*B153</f>
        <v>0</v>
      </c>
      <c r="I153" s="185">
        <f t="shared" si="31"/>
        <v>0</v>
      </c>
      <c r="J153" s="184">
        <f t="shared" si="32"/>
        <v>0</v>
      </c>
      <c r="K153" s="152" t="s">
        <v>294</v>
      </c>
    </row>
    <row r="154" spans="1:11" s="189" customFormat="1" ht="15.75">
      <c r="A154" s="217" t="s">
        <v>212</v>
      </c>
      <c r="B154" s="280"/>
      <c r="C154" s="215">
        <v>6</v>
      </c>
      <c r="D154" s="215">
        <v>0.7</v>
      </c>
      <c r="E154" s="216">
        <v>54</v>
      </c>
      <c r="F154" s="183">
        <f ca="1" t="shared" si="17"/>
        <v>54</v>
      </c>
      <c r="G154" s="184">
        <f t="shared" si="30"/>
        <v>0</v>
      </c>
      <c r="H154" s="184">
        <f t="shared" si="33"/>
        <v>0</v>
      </c>
      <c r="I154" s="185">
        <f t="shared" si="31"/>
        <v>0</v>
      </c>
      <c r="J154" s="184">
        <f t="shared" si="32"/>
        <v>0</v>
      </c>
      <c r="K154" s="152" t="s">
        <v>294</v>
      </c>
    </row>
    <row r="155" spans="1:11" s="189" customFormat="1" ht="15.75">
      <c r="A155" s="218" t="s">
        <v>243</v>
      </c>
      <c r="B155" s="280"/>
      <c r="C155" s="215">
        <v>6</v>
      </c>
      <c r="D155" s="215">
        <v>0.7</v>
      </c>
      <c r="E155" s="216">
        <v>54</v>
      </c>
      <c r="F155" s="183">
        <f aca="true" ca="1" t="shared" si="34" ref="F155:F222">E155-(E155*INDIRECT(K155))</f>
        <v>54</v>
      </c>
      <c r="G155" s="184">
        <f t="shared" si="30"/>
        <v>0</v>
      </c>
      <c r="H155" s="184">
        <f t="shared" si="33"/>
        <v>0</v>
      </c>
      <c r="I155" s="185">
        <f t="shared" si="31"/>
        <v>0</v>
      </c>
      <c r="J155" s="184">
        <f t="shared" si="32"/>
        <v>0</v>
      </c>
      <c r="K155" s="152" t="s">
        <v>294</v>
      </c>
    </row>
    <row r="156" spans="1:11" s="189" customFormat="1" ht="15.75" hidden="1">
      <c r="A156" s="218" t="s">
        <v>244</v>
      </c>
      <c r="B156" s="280"/>
      <c r="C156" s="215">
        <v>6</v>
      </c>
      <c r="D156" s="215">
        <v>0.7</v>
      </c>
      <c r="E156" s="216">
        <v>48.5</v>
      </c>
      <c r="F156" s="183">
        <f ca="1" t="shared" si="34"/>
        <v>48.5</v>
      </c>
      <c r="G156" s="184">
        <f t="shared" si="30"/>
        <v>0</v>
      </c>
      <c r="H156" s="184">
        <f t="shared" si="33"/>
        <v>0</v>
      </c>
      <c r="I156" s="185">
        <f t="shared" si="31"/>
        <v>0</v>
      </c>
      <c r="J156" s="184">
        <f t="shared" si="32"/>
        <v>0</v>
      </c>
      <c r="K156" s="152" t="s">
        <v>294</v>
      </c>
    </row>
    <row r="157" spans="1:11" s="189" customFormat="1" ht="15.75" hidden="1">
      <c r="A157" s="218" t="s">
        <v>245</v>
      </c>
      <c r="B157" s="280"/>
      <c r="C157" s="215">
        <v>6</v>
      </c>
      <c r="D157" s="215">
        <v>0.7</v>
      </c>
      <c r="E157" s="216">
        <v>48.5</v>
      </c>
      <c r="F157" s="183">
        <f ca="1" t="shared" si="34"/>
        <v>48.5</v>
      </c>
      <c r="G157" s="184">
        <f t="shared" si="30"/>
        <v>0</v>
      </c>
      <c r="H157" s="184">
        <f t="shared" si="33"/>
        <v>0</v>
      </c>
      <c r="I157" s="185">
        <f t="shared" si="31"/>
        <v>0</v>
      </c>
      <c r="J157" s="184">
        <f t="shared" si="32"/>
        <v>0</v>
      </c>
      <c r="K157" s="152" t="s">
        <v>294</v>
      </c>
    </row>
    <row r="158" spans="1:11" s="189" customFormat="1" ht="15.75">
      <c r="A158" s="218" t="s">
        <v>246</v>
      </c>
      <c r="B158" s="280"/>
      <c r="C158" s="215">
        <v>6</v>
      </c>
      <c r="D158" s="215">
        <v>0.7</v>
      </c>
      <c r="E158" s="216">
        <v>54</v>
      </c>
      <c r="F158" s="183">
        <f ca="1" t="shared" si="34"/>
        <v>54</v>
      </c>
      <c r="G158" s="184">
        <f t="shared" si="30"/>
        <v>0</v>
      </c>
      <c r="H158" s="184">
        <f t="shared" si="33"/>
        <v>0</v>
      </c>
      <c r="I158" s="185">
        <f t="shared" si="31"/>
        <v>0</v>
      </c>
      <c r="J158" s="184">
        <f t="shared" si="32"/>
        <v>0</v>
      </c>
      <c r="K158" s="152" t="s">
        <v>294</v>
      </c>
    </row>
    <row r="159" spans="1:11" s="189" customFormat="1" ht="15.75">
      <c r="A159" s="218" t="s">
        <v>219</v>
      </c>
      <c r="B159" s="280"/>
      <c r="C159" s="215">
        <v>6</v>
      </c>
      <c r="D159" s="215">
        <v>0.7</v>
      </c>
      <c r="E159" s="216">
        <v>85.86</v>
      </c>
      <c r="F159" s="183">
        <f ca="1" t="shared" si="34"/>
        <v>85.86</v>
      </c>
      <c r="G159" s="184">
        <f t="shared" si="30"/>
        <v>0</v>
      </c>
      <c r="H159" s="184">
        <f t="shared" si="33"/>
        <v>0</v>
      </c>
      <c r="I159" s="185">
        <f t="shared" si="31"/>
        <v>0</v>
      </c>
      <c r="J159" s="184">
        <f t="shared" si="32"/>
        <v>0</v>
      </c>
      <c r="K159" s="152" t="s">
        <v>294</v>
      </c>
    </row>
    <row r="160" spans="1:11" s="189" customFormat="1" ht="15.75">
      <c r="A160" s="218" t="s">
        <v>218</v>
      </c>
      <c r="B160" s="280"/>
      <c r="C160" s="215">
        <v>6</v>
      </c>
      <c r="D160" s="215">
        <v>0.7</v>
      </c>
      <c r="E160" s="216">
        <v>85.86</v>
      </c>
      <c r="F160" s="183">
        <f ca="1" t="shared" si="34"/>
        <v>85.86</v>
      </c>
      <c r="G160" s="184">
        <f t="shared" si="30"/>
        <v>0</v>
      </c>
      <c r="H160" s="184">
        <f t="shared" si="33"/>
        <v>0</v>
      </c>
      <c r="I160" s="185">
        <f t="shared" si="31"/>
        <v>0</v>
      </c>
      <c r="J160" s="184">
        <f t="shared" si="32"/>
        <v>0</v>
      </c>
      <c r="K160" s="152" t="s">
        <v>294</v>
      </c>
    </row>
    <row r="161" spans="1:11" s="189" customFormat="1" ht="15.75">
      <c r="A161" s="217" t="s">
        <v>247</v>
      </c>
      <c r="B161" s="307"/>
      <c r="C161" s="215">
        <v>6</v>
      </c>
      <c r="D161" s="215">
        <v>0.7</v>
      </c>
      <c r="E161" s="216">
        <v>85.86</v>
      </c>
      <c r="F161" s="183">
        <f ca="1" t="shared" si="34"/>
        <v>85.86</v>
      </c>
      <c r="G161" s="184">
        <f t="shared" si="30"/>
        <v>0</v>
      </c>
      <c r="H161" s="184">
        <f t="shared" si="33"/>
        <v>0</v>
      </c>
      <c r="I161" s="185">
        <f t="shared" si="31"/>
        <v>0</v>
      </c>
      <c r="J161" s="184">
        <f t="shared" si="32"/>
        <v>0</v>
      </c>
      <c r="K161" s="152" t="s">
        <v>294</v>
      </c>
    </row>
    <row r="162" spans="1:11" s="189" customFormat="1" ht="15.75">
      <c r="A162" s="221" t="s">
        <v>195</v>
      </c>
      <c r="B162" s="282"/>
      <c r="C162" s="222"/>
      <c r="D162" s="222"/>
      <c r="E162" s="216"/>
      <c r="F162" s="183">
        <f ca="1" t="shared" si="34"/>
        <v>0</v>
      </c>
      <c r="G162" s="184"/>
      <c r="H162" s="184"/>
      <c r="I162" s="185"/>
      <c r="J162" s="184"/>
      <c r="K162" s="152" t="s">
        <v>294</v>
      </c>
    </row>
    <row r="163" spans="1:11" s="189" customFormat="1" ht="15.75">
      <c r="A163" s="217" t="s">
        <v>214</v>
      </c>
      <c r="B163" s="280"/>
      <c r="C163" s="215">
        <v>6</v>
      </c>
      <c r="D163" s="215">
        <v>3</v>
      </c>
      <c r="E163" s="216">
        <v>196.1</v>
      </c>
      <c r="F163" s="183">
        <f ca="1" t="shared" si="34"/>
        <v>196.1</v>
      </c>
      <c r="G163" s="184">
        <f aca="true" t="shared" si="35" ref="G163:G183">B163*C163</f>
        <v>0</v>
      </c>
      <c r="H163" s="184">
        <f aca="true" t="shared" si="36" ref="H163:H168">18.8*B163</f>
        <v>0</v>
      </c>
      <c r="I163" s="185">
        <f aca="true" t="shared" si="37" ref="I163:I183">G163*F163</f>
        <v>0</v>
      </c>
      <c r="J163" s="184">
        <f aca="true" t="shared" si="38" ref="J163:J183">(G163*D163)/10</f>
        <v>0</v>
      </c>
      <c r="K163" s="152" t="s">
        <v>294</v>
      </c>
    </row>
    <row r="164" spans="1:11" s="189" customFormat="1" ht="15.75">
      <c r="A164" s="217" t="s">
        <v>213</v>
      </c>
      <c r="B164" s="280"/>
      <c r="C164" s="215">
        <v>6</v>
      </c>
      <c r="D164" s="215">
        <v>3</v>
      </c>
      <c r="E164" s="216">
        <v>196.1</v>
      </c>
      <c r="F164" s="183">
        <f ca="1" t="shared" si="34"/>
        <v>196.1</v>
      </c>
      <c r="G164" s="184">
        <f t="shared" si="35"/>
        <v>0</v>
      </c>
      <c r="H164" s="184">
        <f t="shared" si="36"/>
        <v>0</v>
      </c>
      <c r="I164" s="185">
        <f t="shared" si="37"/>
        <v>0</v>
      </c>
      <c r="J164" s="184">
        <f t="shared" si="38"/>
        <v>0</v>
      </c>
      <c r="K164" s="152" t="s">
        <v>294</v>
      </c>
    </row>
    <row r="165" spans="1:11" s="189" customFormat="1" ht="15.75">
      <c r="A165" s="217" t="s">
        <v>248</v>
      </c>
      <c r="B165" s="280"/>
      <c r="C165" s="215">
        <v>6</v>
      </c>
      <c r="D165" s="215">
        <v>3</v>
      </c>
      <c r="E165" s="216">
        <v>196.1</v>
      </c>
      <c r="F165" s="183">
        <f ca="1" t="shared" si="34"/>
        <v>196.1</v>
      </c>
      <c r="G165" s="184">
        <f t="shared" si="35"/>
        <v>0</v>
      </c>
      <c r="H165" s="184">
        <f t="shared" si="36"/>
        <v>0</v>
      </c>
      <c r="I165" s="185">
        <f t="shared" si="37"/>
        <v>0</v>
      </c>
      <c r="J165" s="184">
        <f t="shared" si="38"/>
        <v>0</v>
      </c>
      <c r="K165" s="152" t="s">
        <v>294</v>
      </c>
    </row>
    <row r="166" spans="1:11" s="189" customFormat="1" ht="15.75">
      <c r="A166" s="217" t="s">
        <v>215</v>
      </c>
      <c r="B166" s="280"/>
      <c r="C166" s="215">
        <v>6</v>
      </c>
      <c r="D166" s="215">
        <v>3</v>
      </c>
      <c r="E166" s="216">
        <v>196.1</v>
      </c>
      <c r="F166" s="183">
        <f ca="1" t="shared" si="34"/>
        <v>196.1</v>
      </c>
      <c r="G166" s="184">
        <f t="shared" si="35"/>
        <v>0</v>
      </c>
      <c r="H166" s="184">
        <f t="shared" si="36"/>
        <v>0</v>
      </c>
      <c r="I166" s="185">
        <f t="shared" si="37"/>
        <v>0</v>
      </c>
      <c r="J166" s="184">
        <f t="shared" si="38"/>
        <v>0</v>
      </c>
      <c r="K166" s="152" t="s">
        <v>294</v>
      </c>
    </row>
    <row r="167" spans="1:11" s="189" customFormat="1" ht="15.75">
      <c r="A167" s="217" t="s">
        <v>249</v>
      </c>
      <c r="B167" s="280"/>
      <c r="C167" s="215">
        <v>6</v>
      </c>
      <c r="D167" s="215">
        <v>3</v>
      </c>
      <c r="E167" s="216">
        <v>196.1</v>
      </c>
      <c r="F167" s="183">
        <f ca="1" t="shared" si="34"/>
        <v>196.1</v>
      </c>
      <c r="G167" s="184">
        <f t="shared" si="35"/>
        <v>0</v>
      </c>
      <c r="H167" s="184">
        <f t="shared" si="36"/>
        <v>0</v>
      </c>
      <c r="I167" s="185">
        <f t="shared" si="37"/>
        <v>0</v>
      </c>
      <c r="J167" s="184">
        <f t="shared" si="38"/>
        <v>0</v>
      </c>
      <c r="K167" s="152" t="s">
        <v>294</v>
      </c>
    </row>
    <row r="168" spans="1:11" s="189" customFormat="1" ht="15.75">
      <c r="A168" s="217" t="s">
        <v>250</v>
      </c>
      <c r="B168" s="280"/>
      <c r="C168" s="215">
        <v>6</v>
      </c>
      <c r="D168" s="215">
        <v>3</v>
      </c>
      <c r="E168" s="216">
        <v>244.86</v>
      </c>
      <c r="F168" s="183">
        <f ca="1" t="shared" si="34"/>
        <v>244.86</v>
      </c>
      <c r="G168" s="184">
        <f t="shared" si="35"/>
        <v>0</v>
      </c>
      <c r="H168" s="184">
        <f t="shared" si="36"/>
        <v>0</v>
      </c>
      <c r="I168" s="185">
        <f t="shared" si="37"/>
        <v>0</v>
      </c>
      <c r="J168" s="184">
        <f t="shared" si="38"/>
        <v>0</v>
      </c>
      <c r="K168" s="152" t="s">
        <v>294</v>
      </c>
    </row>
    <row r="169" spans="1:11" s="189" customFormat="1" ht="15.75">
      <c r="A169" s="217" t="s">
        <v>244</v>
      </c>
      <c r="B169" s="280"/>
      <c r="C169" s="215">
        <v>6</v>
      </c>
      <c r="D169" s="215">
        <v>2</v>
      </c>
      <c r="E169" s="216">
        <v>138.86</v>
      </c>
      <c r="F169" s="183">
        <f ca="1" t="shared" si="34"/>
        <v>138.86</v>
      </c>
      <c r="G169" s="184">
        <f t="shared" si="35"/>
        <v>0</v>
      </c>
      <c r="H169" s="184">
        <f>13.3*B169</f>
        <v>0</v>
      </c>
      <c r="I169" s="185">
        <f t="shared" si="37"/>
        <v>0</v>
      </c>
      <c r="J169" s="184">
        <f t="shared" si="38"/>
        <v>0</v>
      </c>
      <c r="K169" s="152" t="s">
        <v>294</v>
      </c>
    </row>
    <row r="170" spans="1:11" s="189" customFormat="1" ht="15.75">
      <c r="A170" s="217" t="s">
        <v>246</v>
      </c>
      <c r="B170" s="280"/>
      <c r="C170" s="215">
        <v>6</v>
      </c>
      <c r="D170" s="215">
        <v>2</v>
      </c>
      <c r="E170" s="216">
        <v>138.86</v>
      </c>
      <c r="F170" s="183">
        <f ca="1" t="shared" si="34"/>
        <v>138.86</v>
      </c>
      <c r="G170" s="184">
        <f t="shared" si="35"/>
        <v>0</v>
      </c>
      <c r="H170" s="184">
        <f>13.3*B170</f>
        <v>0</v>
      </c>
      <c r="I170" s="185">
        <f t="shared" si="37"/>
        <v>0</v>
      </c>
      <c r="J170" s="184">
        <f t="shared" si="38"/>
        <v>0</v>
      </c>
      <c r="K170" s="152" t="s">
        <v>294</v>
      </c>
    </row>
    <row r="171" spans="1:11" s="189" customFormat="1" ht="15.75">
      <c r="A171" s="217" t="s">
        <v>251</v>
      </c>
      <c r="B171" s="280"/>
      <c r="C171" s="215">
        <v>6</v>
      </c>
      <c r="D171" s="215">
        <v>2</v>
      </c>
      <c r="E171" s="216">
        <v>138.86</v>
      </c>
      <c r="F171" s="183">
        <f ca="1" t="shared" si="34"/>
        <v>138.86</v>
      </c>
      <c r="G171" s="184">
        <f t="shared" si="35"/>
        <v>0</v>
      </c>
      <c r="H171" s="184">
        <f>13.3*B171</f>
        <v>0</v>
      </c>
      <c r="I171" s="185">
        <f t="shared" si="37"/>
        <v>0</v>
      </c>
      <c r="J171" s="184">
        <f t="shared" si="38"/>
        <v>0</v>
      </c>
      <c r="K171" s="152" t="s">
        <v>294</v>
      </c>
    </row>
    <row r="172" spans="1:11" s="189" customFormat="1" ht="15.75">
      <c r="A172" s="217" t="s">
        <v>252</v>
      </c>
      <c r="B172" s="280"/>
      <c r="C172" s="215">
        <v>6</v>
      </c>
      <c r="D172" s="215">
        <v>2</v>
      </c>
      <c r="E172" s="216">
        <v>138.86</v>
      </c>
      <c r="F172" s="183">
        <f ca="1" t="shared" si="34"/>
        <v>138.86</v>
      </c>
      <c r="G172" s="184">
        <f t="shared" si="35"/>
        <v>0</v>
      </c>
      <c r="H172" s="184">
        <f>13.3*B172</f>
        <v>0</v>
      </c>
      <c r="I172" s="185">
        <f t="shared" si="37"/>
        <v>0</v>
      </c>
      <c r="J172" s="184">
        <f t="shared" si="38"/>
        <v>0</v>
      </c>
      <c r="K172" s="152" t="s">
        <v>294</v>
      </c>
    </row>
    <row r="173" spans="1:11" s="189" customFormat="1" ht="15.75">
      <c r="A173" s="217" t="s">
        <v>214</v>
      </c>
      <c r="B173" s="280"/>
      <c r="C173" s="215">
        <v>6</v>
      </c>
      <c r="D173" s="215">
        <v>0.7</v>
      </c>
      <c r="E173" s="216">
        <v>57.24</v>
      </c>
      <c r="F173" s="183">
        <f ca="1" t="shared" si="34"/>
        <v>57.24</v>
      </c>
      <c r="G173" s="184">
        <f t="shared" si="35"/>
        <v>0</v>
      </c>
      <c r="H173" s="184">
        <f>7.5*B173</f>
        <v>0</v>
      </c>
      <c r="I173" s="185">
        <f t="shared" si="37"/>
        <v>0</v>
      </c>
      <c r="J173" s="184">
        <f t="shared" si="38"/>
        <v>0</v>
      </c>
      <c r="K173" s="152" t="s">
        <v>294</v>
      </c>
    </row>
    <row r="174" spans="1:11" s="189" customFormat="1" ht="15.75">
      <c r="A174" s="217" t="s">
        <v>253</v>
      </c>
      <c r="B174" s="280"/>
      <c r="C174" s="215">
        <v>6</v>
      </c>
      <c r="D174" s="215">
        <v>0.7</v>
      </c>
      <c r="E174" s="216">
        <v>57.24</v>
      </c>
      <c r="F174" s="183">
        <f ca="1" t="shared" si="34"/>
        <v>57.24</v>
      </c>
      <c r="G174" s="184">
        <f t="shared" si="35"/>
        <v>0</v>
      </c>
      <c r="H174" s="184">
        <f aca="true" t="shared" si="39" ref="H174:H182">7.5*B174</f>
        <v>0</v>
      </c>
      <c r="I174" s="185">
        <f t="shared" si="37"/>
        <v>0</v>
      </c>
      <c r="J174" s="184">
        <f t="shared" si="38"/>
        <v>0</v>
      </c>
      <c r="K174" s="152" t="s">
        <v>294</v>
      </c>
    </row>
    <row r="175" spans="1:11" s="189" customFormat="1" ht="15.75">
      <c r="A175" s="217" t="s">
        <v>212</v>
      </c>
      <c r="B175" s="280"/>
      <c r="C175" s="215">
        <v>6</v>
      </c>
      <c r="D175" s="215">
        <v>0.7</v>
      </c>
      <c r="E175" s="216">
        <v>57.24</v>
      </c>
      <c r="F175" s="183">
        <f ca="1" t="shared" si="34"/>
        <v>57.24</v>
      </c>
      <c r="G175" s="184">
        <f t="shared" si="35"/>
        <v>0</v>
      </c>
      <c r="H175" s="184">
        <f t="shared" si="39"/>
        <v>0</v>
      </c>
      <c r="I175" s="185">
        <f t="shared" si="37"/>
        <v>0</v>
      </c>
      <c r="J175" s="184">
        <f t="shared" si="38"/>
        <v>0</v>
      </c>
      <c r="K175" s="152" t="s">
        <v>294</v>
      </c>
    </row>
    <row r="176" spans="1:11" s="189" customFormat="1" ht="15.75">
      <c r="A176" s="217" t="s">
        <v>254</v>
      </c>
      <c r="B176" s="280"/>
      <c r="C176" s="215">
        <v>6</v>
      </c>
      <c r="D176" s="215">
        <v>0.7</v>
      </c>
      <c r="E176" s="216">
        <v>57.24</v>
      </c>
      <c r="F176" s="183">
        <f ca="1" t="shared" si="34"/>
        <v>57.24</v>
      </c>
      <c r="G176" s="184">
        <f t="shared" si="35"/>
        <v>0</v>
      </c>
      <c r="H176" s="184">
        <f t="shared" si="39"/>
        <v>0</v>
      </c>
      <c r="I176" s="185">
        <f t="shared" si="37"/>
        <v>0</v>
      </c>
      <c r="J176" s="184">
        <f t="shared" si="38"/>
        <v>0</v>
      </c>
      <c r="K176" s="152" t="s">
        <v>294</v>
      </c>
    </row>
    <row r="177" spans="1:11" s="189" customFormat="1" ht="15.75">
      <c r="A177" s="217" t="s">
        <v>255</v>
      </c>
      <c r="B177" s="280"/>
      <c r="C177" s="215">
        <v>6</v>
      </c>
      <c r="D177" s="215">
        <v>0.7</v>
      </c>
      <c r="E177" s="216">
        <v>57.24</v>
      </c>
      <c r="F177" s="183">
        <f ca="1" t="shared" si="34"/>
        <v>57.24</v>
      </c>
      <c r="G177" s="184">
        <f t="shared" si="35"/>
        <v>0</v>
      </c>
      <c r="H177" s="184">
        <f t="shared" si="39"/>
        <v>0</v>
      </c>
      <c r="I177" s="185">
        <f t="shared" si="37"/>
        <v>0</v>
      </c>
      <c r="J177" s="184">
        <f t="shared" si="38"/>
        <v>0</v>
      </c>
      <c r="K177" s="152" t="s">
        <v>294</v>
      </c>
    </row>
    <row r="178" spans="1:11" s="189" customFormat="1" ht="15.75">
      <c r="A178" s="217" t="s">
        <v>246</v>
      </c>
      <c r="B178" s="280"/>
      <c r="C178" s="215">
        <v>6</v>
      </c>
      <c r="D178" s="215">
        <v>0.7</v>
      </c>
      <c r="E178" s="216">
        <v>57.24</v>
      </c>
      <c r="F178" s="183">
        <f ca="1" t="shared" si="34"/>
        <v>57.24</v>
      </c>
      <c r="G178" s="184">
        <f t="shared" si="35"/>
        <v>0</v>
      </c>
      <c r="H178" s="184">
        <f t="shared" si="39"/>
        <v>0</v>
      </c>
      <c r="I178" s="185">
        <f t="shared" si="37"/>
        <v>0</v>
      </c>
      <c r="J178" s="184">
        <f t="shared" si="38"/>
        <v>0</v>
      </c>
      <c r="K178" s="152" t="s">
        <v>294</v>
      </c>
    </row>
    <row r="179" spans="1:11" s="189" customFormat="1" ht="15.75">
      <c r="A179" s="217" t="s">
        <v>244</v>
      </c>
      <c r="B179" s="280"/>
      <c r="C179" s="215">
        <v>6</v>
      </c>
      <c r="D179" s="215">
        <v>0.7</v>
      </c>
      <c r="E179" s="216">
        <v>57.24</v>
      </c>
      <c r="F179" s="183">
        <f ca="1" t="shared" si="34"/>
        <v>57.24</v>
      </c>
      <c r="G179" s="184">
        <f t="shared" si="35"/>
        <v>0</v>
      </c>
      <c r="H179" s="184">
        <f t="shared" si="39"/>
        <v>0</v>
      </c>
      <c r="I179" s="185">
        <f t="shared" si="37"/>
        <v>0</v>
      </c>
      <c r="J179" s="184">
        <f t="shared" si="38"/>
        <v>0</v>
      </c>
      <c r="K179" s="152" t="s">
        <v>294</v>
      </c>
    </row>
    <row r="180" spans="1:11" s="189" customFormat="1" ht="15.75">
      <c r="A180" s="294" t="s">
        <v>331</v>
      </c>
      <c r="B180" s="298"/>
      <c r="C180" s="310">
        <v>6</v>
      </c>
      <c r="D180" s="310">
        <v>0.7</v>
      </c>
      <c r="E180" s="216">
        <v>57.24</v>
      </c>
      <c r="F180" s="295">
        <f ca="1" t="shared" si="34"/>
        <v>57.24</v>
      </c>
      <c r="G180" s="296">
        <f t="shared" si="35"/>
        <v>0</v>
      </c>
      <c r="H180" s="296">
        <f t="shared" si="39"/>
        <v>0</v>
      </c>
      <c r="I180" s="297">
        <f t="shared" si="37"/>
        <v>0</v>
      </c>
      <c r="J180" s="296">
        <f t="shared" si="38"/>
        <v>0</v>
      </c>
      <c r="K180" s="152" t="s">
        <v>294</v>
      </c>
    </row>
    <row r="181" spans="1:11" s="189" customFormat="1" ht="15.75">
      <c r="A181" s="294" t="s">
        <v>331</v>
      </c>
      <c r="B181" s="298"/>
      <c r="C181" s="299">
        <v>6</v>
      </c>
      <c r="D181" s="299">
        <v>2</v>
      </c>
      <c r="E181" s="300">
        <v>138.86</v>
      </c>
      <c r="F181" s="295">
        <f ca="1" t="shared" si="34"/>
        <v>138.86</v>
      </c>
      <c r="G181" s="296">
        <f t="shared" si="35"/>
        <v>0</v>
      </c>
      <c r="H181" s="296">
        <f>13.3*B181</f>
        <v>0</v>
      </c>
      <c r="I181" s="297">
        <f t="shared" si="37"/>
        <v>0</v>
      </c>
      <c r="J181" s="296">
        <f t="shared" si="38"/>
        <v>0</v>
      </c>
      <c r="K181" s="152" t="s">
        <v>294</v>
      </c>
    </row>
    <row r="182" spans="1:11" s="189" customFormat="1" ht="15.75">
      <c r="A182" s="217" t="s">
        <v>256</v>
      </c>
      <c r="B182" s="280"/>
      <c r="C182" s="215">
        <v>6</v>
      </c>
      <c r="D182" s="215">
        <v>0.7</v>
      </c>
      <c r="E182" s="216">
        <v>57.24</v>
      </c>
      <c r="F182" s="183">
        <f ca="1" t="shared" si="34"/>
        <v>57.24</v>
      </c>
      <c r="G182" s="184">
        <f t="shared" si="35"/>
        <v>0</v>
      </c>
      <c r="H182" s="184">
        <f t="shared" si="39"/>
        <v>0</v>
      </c>
      <c r="I182" s="185">
        <f t="shared" si="37"/>
        <v>0</v>
      </c>
      <c r="J182" s="184">
        <f t="shared" si="38"/>
        <v>0</v>
      </c>
      <c r="K182" s="152" t="s">
        <v>294</v>
      </c>
    </row>
    <row r="183" spans="1:11" s="189" customFormat="1" ht="15.75">
      <c r="A183" s="217" t="s">
        <v>256</v>
      </c>
      <c r="B183" s="280"/>
      <c r="C183" s="215">
        <v>6</v>
      </c>
      <c r="D183" s="215">
        <v>2</v>
      </c>
      <c r="E183" s="216">
        <v>138.86</v>
      </c>
      <c r="F183" s="183">
        <f ca="1" t="shared" si="34"/>
        <v>138.86</v>
      </c>
      <c r="G183" s="184">
        <f t="shared" si="35"/>
        <v>0</v>
      </c>
      <c r="H183" s="184">
        <f>13.3*B183</f>
        <v>0</v>
      </c>
      <c r="I183" s="185">
        <f t="shared" si="37"/>
        <v>0</v>
      </c>
      <c r="J183" s="184">
        <f t="shared" si="38"/>
        <v>0</v>
      </c>
      <c r="K183" s="152" t="s">
        <v>294</v>
      </c>
    </row>
    <row r="184" spans="1:11" s="168" customFormat="1" ht="20.25">
      <c r="A184" s="164" t="s">
        <v>267</v>
      </c>
      <c r="B184" s="283"/>
      <c r="C184" s="165"/>
      <c r="D184" s="165"/>
      <c r="E184" s="165"/>
      <c r="F184" s="166">
        <f ca="1" t="shared" si="34"/>
        <v>0</v>
      </c>
      <c r="G184" s="165"/>
      <c r="H184" s="165"/>
      <c r="I184" s="165"/>
      <c r="J184" s="167"/>
      <c r="K184" s="152" t="s">
        <v>295</v>
      </c>
    </row>
    <row r="185" spans="1:11" s="168" customFormat="1" ht="20.25">
      <c r="A185" s="169" t="s">
        <v>268</v>
      </c>
      <c r="B185" s="282"/>
      <c r="C185" s="223"/>
      <c r="D185" s="223"/>
      <c r="E185" s="224"/>
      <c r="F185" s="225">
        <f ca="1" t="shared" si="34"/>
        <v>0</v>
      </c>
      <c r="G185" s="226"/>
      <c r="H185" s="226"/>
      <c r="I185" s="226"/>
      <c r="J185" s="226"/>
      <c r="K185" s="152" t="s">
        <v>295</v>
      </c>
    </row>
    <row r="186" spans="1:11" s="189" customFormat="1" ht="15.75">
      <c r="A186" s="187" t="s">
        <v>204</v>
      </c>
      <c r="B186" s="276"/>
      <c r="C186" s="182">
        <v>6</v>
      </c>
      <c r="D186" s="182">
        <v>0.5</v>
      </c>
      <c r="E186" s="198">
        <v>165</v>
      </c>
      <c r="F186" s="183">
        <f ca="1" t="shared" si="34"/>
        <v>165</v>
      </c>
      <c r="G186" s="184">
        <f aca="true" t="shared" si="40" ref="G186:G191">B186*C186</f>
        <v>0</v>
      </c>
      <c r="H186" s="184">
        <f>6.1*B186</f>
        <v>0</v>
      </c>
      <c r="I186" s="185">
        <f aca="true" t="shared" si="41" ref="I186:I191">G186*F186</f>
        <v>0</v>
      </c>
      <c r="J186" s="184">
        <f aca="true" t="shared" si="42" ref="J186:J191">(G186*D186)/10</f>
        <v>0</v>
      </c>
      <c r="K186" s="152" t="s">
        <v>295</v>
      </c>
    </row>
    <row r="187" spans="1:11" s="189" customFormat="1" ht="15.75">
      <c r="A187" s="187" t="s">
        <v>205</v>
      </c>
      <c r="B187" s="276"/>
      <c r="C187" s="182">
        <v>25</v>
      </c>
      <c r="D187" s="182">
        <v>0.25</v>
      </c>
      <c r="E187" s="198">
        <v>96.58</v>
      </c>
      <c r="F187" s="183">
        <f ca="1" t="shared" si="34"/>
        <v>96.58</v>
      </c>
      <c r="G187" s="184">
        <f t="shared" si="40"/>
        <v>0</v>
      </c>
      <c r="H187" s="184">
        <f>13.7*B187</f>
        <v>0</v>
      </c>
      <c r="I187" s="185">
        <f t="shared" si="41"/>
        <v>0</v>
      </c>
      <c r="J187" s="184">
        <f t="shared" si="42"/>
        <v>0</v>
      </c>
      <c r="K187" s="152" t="s">
        <v>295</v>
      </c>
    </row>
    <row r="188" spans="1:11" s="189" customFormat="1" ht="15.75">
      <c r="A188" s="187" t="s">
        <v>206</v>
      </c>
      <c r="B188" s="276"/>
      <c r="C188" s="182">
        <v>50</v>
      </c>
      <c r="D188" s="182">
        <v>0.1</v>
      </c>
      <c r="E188" s="198">
        <v>49.72</v>
      </c>
      <c r="F188" s="183">
        <f ca="1" t="shared" si="34"/>
        <v>49.72</v>
      </c>
      <c r="G188" s="184">
        <f t="shared" si="40"/>
        <v>0</v>
      </c>
      <c r="H188" s="184">
        <f>12.2*B188</f>
        <v>0</v>
      </c>
      <c r="I188" s="185">
        <f t="shared" si="41"/>
        <v>0</v>
      </c>
      <c r="J188" s="184">
        <f t="shared" si="42"/>
        <v>0</v>
      </c>
      <c r="K188" s="152" t="s">
        <v>295</v>
      </c>
    </row>
    <row r="189" spans="1:11" s="189" customFormat="1" ht="15.75">
      <c r="A189" s="187" t="s">
        <v>207</v>
      </c>
      <c r="B189" s="276"/>
      <c r="C189" s="182">
        <v>6</v>
      </c>
      <c r="D189" s="182">
        <v>0.5</v>
      </c>
      <c r="E189" s="198">
        <v>179.3</v>
      </c>
      <c r="F189" s="183">
        <f ca="1" t="shared" si="34"/>
        <v>179.3</v>
      </c>
      <c r="G189" s="184">
        <f t="shared" si="40"/>
        <v>0</v>
      </c>
      <c r="H189" s="184">
        <f>6.1*B189</f>
        <v>0</v>
      </c>
      <c r="I189" s="185">
        <f t="shared" si="41"/>
        <v>0</v>
      </c>
      <c r="J189" s="184">
        <f t="shared" si="42"/>
        <v>0</v>
      </c>
      <c r="K189" s="152" t="s">
        <v>295</v>
      </c>
    </row>
    <row r="190" spans="1:11" s="189" customFormat="1" ht="15.75">
      <c r="A190" s="187" t="s">
        <v>208</v>
      </c>
      <c r="B190" s="276"/>
      <c r="C190" s="182">
        <v>25</v>
      </c>
      <c r="D190" s="182">
        <v>0.25</v>
      </c>
      <c r="E190" s="198">
        <v>106.26</v>
      </c>
      <c r="F190" s="183">
        <f ca="1" t="shared" si="34"/>
        <v>106.26</v>
      </c>
      <c r="G190" s="184">
        <f t="shared" si="40"/>
        <v>0</v>
      </c>
      <c r="H190" s="184">
        <f>13.7*B190</f>
        <v>0</v>
      </c>
      <c r="I190" s="185">
        <f t="shared" si="41"/>
        <v>0</v>
      </c>
      <c r="J190" s="184">
        <f t="shared" si="42"/>
        <v>0</v>
      </c>
      <c r="K190" s="152" t="s">
        <v>295</v>
      </c>
    </row>
    <row r="191" spans="1:11" s="189" customFormat="1" ht="15.75">
      <c r="A191" s="187" t="s">
        <v>209</v>
      </c>
      <c r="B191" s="276"/>
      <c r="C191" s="182">
        <v>50</v>
      </c>
      <c r="D191" s="182">
        <v>0.1</v>
      </c>
      <c r="E191" s="198">
        <v>53.57</v>
      </c>
      <c r="F191" s="183">
        <f ca="1" t="shared" si="34"/>
        <v>53.57</v>
      </c>
      <c r="G191" s="184">
        <f t="shared" si="40"/>
        <v>0</v>
      </c>
      <c r="H191" s="184">
        <f>12.2*B191</f>
        <v>0</v>
      </c>
      <c r="I191" s="185">
        <f t="shared" si="41"/>
        <v>0</v>
      </c>
      <c r="J191" s="184">
        <f t="shared" si="42"/>
        <v>0</v>
      </c>
      <c r="K191" s="152" t="s">
        <v>295</v>
      </c>
    </row>
    <row r="192" spans="1:11" s="189" customFormat="1" ht="15.75">
      <c r="A192" s="174" t="s">
        <v>271</v>
      </c>
      <c r="B192" s="274"/>
      <c r="C192" s="187"/>
      <c r="D192" s="187"/>
      <c r="E192" s="187"/>
      <c r="F192" s="186">
        <f ca="1" t="shared" si="34"/>
        <v>0</v>
      </c>
      <c r="G192" s="187"/>
      <c r="H192" s="187"/>
      <c r="I192" s="187"/>
      <c r="J192" s="187"/>
      <c r="K192" s="152" t="s">
        <v>295</v>
      </c>
    </row>
    <row r="193" spans="1:11" s="189" customFormat="1" ht="15.75">
      <c r="A193" s="187" t="s">
        <v>173</v>
      </c>
      <c r="B193" s="276"/>
      <c r="C193" s="182">
        <v>6</v>
      </c>
      <c r="D193" s="182">
        <v>0.5</v>
      </c>
      <c r="E193" s="198">
        <v>206.7</v>
      </c>
      <c r="F193" s="183">
        <f ca="1" t="shared" si="34"/>
        <v>206.7</v>
      </c>
      <c r="G193" s="184">
        <f aca="true" t="shared" si="43" ref="G193:G202">B193*C193</f>
        <v>0</v>
      </c>
      <c r="H193" s="184">
        <f>6.1*B193</f>
        <v>0</v>
      </c>
      <c r="I193" s="185">
        <f aca="true" t="shared" si="44" ref="I193:I202">G193*F193</f>
        <v>0</v>
      </c>
      <c r="J193" s="184">
        <f aca="true" t="shared" si="45" ref="J193:J202">(G193*D193)/10</f>
        <v>0</v>
      </c>
      <c r="K193" s="152" t="s">
        <v>295</v>
      </c>
    </row>
    <row r="194" spans="1:11" s="189" customFormat="1" ht="15.75">
      <c r="A194" s="187" t="s">
        <v>44</v>
      </c>
      <c r="B194" s="276"/>
      <c r="C194" s="182">
        <v>25</v>
      </c>
      <c r="D194" s="182">
        <v>0.25</v>
      </c>
      <c r="E194" s="198">
        <v>118.72</v>
      </c>
      <c r="F194" s="183">
        <f ca="1" t="shared" si="34"/>
        <v>118.72</v>
      </c>
      <c r="G194" s="184">
        <f t="shared" si="43"/>
        <v>0</v>
      </c>
      <c r="H194" s="184">
        <f>13.7*B194</f>
        <v>0</v>
      </c>
      <c r="I194" s="185">
        <f t="shared" si="44"/>
        <v>0</v>
      </c>
      <c r="J194" s="184">
        <f t="shared" si="45"/>
        <v>0</v>
      </c>
      <c r="K194" s="152" t="s">
        <v>295</v>
      </c>
    </row>
    <row r="195" spans="1:11" s="189" customFormat="1" ht="15.75">
      <c r="A195" s="187" t="s">
        <v>44</v>
      </c>
      <c r="B195" s="276"/>
      <c r="C195" s="182">
        <v>50</v>
      </c>
      <c r="D195" s="182">
        <v>0.1</v>
      </c>
      <c r="E195" s="198">
        <v>51.41</v>
      </c>
      <c r="F195" s="183">
        <f ca="1" t="shared" si="34"/>
        <v>51.41</v>
      </c>
      <c r="G195" s="184">
        <f t="shared" si="43"/>
        <v>0</v>
      </c>
      <c r="H195" s="184">
        <f>12.2*B195</f>
        <v>0</v>
      </c>
      <c r="I195" s="185">
        <f t="shared" si="44"/>
        <v>0</v>
      </c>
      <c r="J195" s="184">
        <f t="shared" si="45"/>
        <v>0</v>
      </c>
      <c r="K195" s="152" t="s">
        <v>295</v>
      </c>
    </row>
    <row r="196" spans="1:11" s="189" customFormat="1" ht="15.75">
      <c r="A196" s="187" t="s">
        <v>174</v>
      </c>
      <c r="B196" s="276"/>
      <c r="C196" s="182">
        <v>6</v>
      </c>
      <c r="D196" s="182">
        <v>0.5</v>
      </c>
      <c r="E196" s="198">
        <v>270.3</v>
      </c>
      <c r="F196" s="183">
        <f ca="1" t="shared" si="34"/>
        <v>270.3</v>
      </c>
      <c r="G196" s="184">
        <f t="shared" si="43"/>
        <v>0</v>
      </c>
      <c r="H196" s="184">
        <f>6.1*B196</f>
        <v>0</v>
      </c>
      <c r="I196" s="185">
        <f t="shared" si="44"/>
        <v>0</v>
      </c>
      <c r="J196" s="184">
        <f t="shared" si="45"/>
        <v>0</v>
      </c>
      <c r="K196" s="152" t="s">
        <v>295</v>
      </c>
    </row>
    <row r="197" spans="1:11" s="189" customFormat="1" ht="15.75">
      <c r="A197" s="187" t="s">
        <v>45</v>
      </c>
      <c r="B197" s="276"/>
      <c r="C197" s="182">
        <v>6</v>
      </c>
      <c r="D197" s="182">
        <v>0.5</v>
      </c>
      <c r="E197" s="198">
        <v>323.3</v>
      </c>
      <c r="F197" s="183">
        <f ca="1" t="shared" si="34"/>
        <v>323.3</v>
      </c>
      <c r="G197" s="184">
        <f t="shared" si="43"/>
        <v>0</v>
      </c>
      <c r="H197" s="184">
        <f>6.071*B197</f>
        <v>0</v>
      </c>
      <c r="I197" s="185">
        <f t="shared" si="44"/>
        <v>0</v>
      </c>
      <c r="J197" s="184">
        <f t="shared" si="45"/>
        <v>0</v>
      </c>
      <c r="K197" s="152" t="s">
        <v>295</v>
      </c>
    </row>
    <row r="198" spans="1:11" s="189" customFormat="1" ht="15.75">
      <c r="A198" s="187" t="s">
        <v>46</v>
      </c>
      <c r="B198" s="276"/>
      <c r="C198" s="182">
        <v>4</v>
      </c>
      <c r="D198" s="182">
        <v>0.7</v>
      </c>
      <c r="E198" s="188">
        <v>859.66</v>
      </c>
      <c r="F198" s="183">
        <f ca="1" t="shared" si="34"/>
        <v>859.66</v>
      </c>
      <c r="G198" s="184">
        <f t="shared" si="43"/>
        <v>0</v>
      </c>
      <c r="H198" s="184">
        <f aca="true" t="shared" si="46" ref="H198:H206">10.6*B198</f>
        <v>0</v>
      </c>
      <c r="I198" s="185">
        <f t="shared" si="44"/>
        <v>0</v>
      </c>
      <c r="J198" s="184">
        <f t="shared" si="45"/>
        <v>0</v>
      </c>
      <c r="K198" s="152" t="s">
        <v>295</v>
      </c>
    </row>
    <row r="199" spans="1:11" s="189" customFormat="1" ht="15.75">
      <c r="A199" s="187" t="s">
        <v>46</v>
      </c>
      <c r="B199" s="276"/>
      <c r="C199" s="182">
        <v>6</v>
      </c>
      <c r="D199" s="182">
        <v>0.7</v>
      </c>
      <c r="E199" s="188">
        <v>859.66</v>
      </c>
      <c r="F199" s="183">
        <f ca="1">E199-(E199*INDIRECT(K199))</f>
        <v>859.66</v>
      </c>
      <c r="G199" s="184">
        <f>B199*C199</f>
        <v>0</v>
      </c>
      <c r="H199" s="184">
        <f t="shared" si="46"/>
        <v>0</v>
      </c>
      <c r="I199" s="185">
        <f>G199*F199</f>
        <v>0</v>
      </c>
      <c r="J199" s="184">
        <f>(G199*D199)/10</f>
        <v>0</v>
      </c>
      <c r="K199" s="152" t="s">
        <v>295</v>
      </c>
    </row>
    <row r="200" spans="1:11" s="189" customFormat="1" ht="15.75">
      <c r="A200" s="187" t="s">
        <v>314</v>
      </c>
      <c r="B200" s="276"/>
      <c r="C200" s="182">
        <v>4</v>
      </c>
      <c r="D200" s="182">
        <v>0.7</v>
      </c>
      <c r="E200" s="188">
        <v>966.72</v>
      </c>
      <c r="F200" s="183">
        <f ca="1">E200-(E200*INDIRECT(K200))</f>
        <v>966.72</v>
      </c>
      <c r="G200" s="184">
        <f>B200*C200</f>
        <v>0</v>
      </c>
      <c r="H200" s="184">
        <f t="shared" si="46"/>
        <v>0</v>
      </c>
      <c r="I200" s="185">
        <f>G200*F200</f>
        <v>0</v>
      </c>
      <c r="J200" s="184">
        <f>(G200*D200)/10</f>
        <v>0</v>
      </c>
      <c r="K200" s="152" t="s">
        <v>295</v>
      </c>
    </row>
    <row r="201" spans="1:11" s="189" customFormat="1" ht="15.75">
      <c r="A201" s="187" t="s">
        <v>314</v>
      </c>
      <c r="B201" s="276"/>
      <c r="C201" s="182">
        <v>6</v>
      </c>
      <c r="D201" s="182">
        <v>0.7</v>
      </c>
      <c r="E201" s="188">
        <v>966.72</v>
      </c>
      <c r="F201" s="183">
        <f ca="1">E201-(E201*INDIRECT(K201))</f>
        <v>966.72</v>
      </c>
      <c r="G201" s="184">
        <f>B201*C201</f>
        <v>0</v>
      </c>
      <c r="H201" s="184">
        <f t="shared" si="46"/>
        <v>0</v>
      </c>
      <c r="I201" s="185">
        <f>G201*F201</f>
        <v>0</v>
      </c>
      <c r="J201" s="184">
        <f>(G201*D201)/10</f>
        <v>0</v>
      </c>
      <c r="K201" s="152" t="s">
        <v>295</v>
      </c>
    </row>
    <row r="202" spans="1:11" s="189" customFormat="1" ht="15.75">
      <c r="A202" s="187" t="s">
        <v>47</v>
      </c>
      <c r="B202" s="276"/>
      <c r="C202" s="182">
        <v>4</v>
      </c>
      <c r="D202" s="182">
        <v>0.7</v>
      </c>
      <c r="E202" s="188">
        <v>1073.78</v>
      </c>
      <c r="F202" s="183">
        <f ca="1" t="shared" si="34"/>
        <v>1073.78</v>
      </c>
      <c r="G202" s="184">
        <f t="shared" si="43"/>
        <v>0</v>
      </c>
      <c r="H202" s="184">
        <f t="shared" si="46"/>
        <v>0</v>
      </c>
      <c r="I202" s="185">
        <f t="shared" si="44"/>
        <v>0</v>
      </c>
      <c r="J202" s="184">
        <f t="shared" si="45"/>
        <v>0</v>
      </c>
      <c r="K202" s="152" t="s">
        <v>295</v>
      </c>
    </row>
    <row r="203" spans="1:11" s="189" customFormat="1" ht="15.75">
      <c r="A203" s="187" t="s">
        <v>47</v>
      </c>
      <c r="B203" s="276"/>
      <c r="C203" s="182">
        <v>6</v>
      </c>
      <c r="D203" s="182">
        <v>0.7</v>
      </c>
      <c r="E203" s="188">
        <v>1073.78</v>
      </c>
      <c r="F203" s="183">
        <f ca="1">E203-(E203*INDIRECT(K203))</f>
        <v>1073.78</v>
      </c>
      <c r="G203" s="184">
        <f>B203*C203</f>
        <v>0</v>
      </c>
      <c r="H203" s="184">
        <f t="shared" si="46"/>
        <v>0</v>
      </c>
      <c r="I203" s="185">
        <f>G203*F203</f>
        <v>0</v>
      </c>
      <c r="J203" s="184">
        <f>(G203*D203)/10</f>
        <v>0</v>
      </c>
      <c r="K203" s="152" t="s">
        <v>295</v>
      </c>
    </row>
    <row r="204" spans="1:11" s="189" customFormat="1" ht="15.75">
      <c r="A204" s="187" t="s">
        <v>315</v>
      </c>
      <c r="B204" s="276"/>
      <c r="C204" s="182">
        <v>4</v>
      </c>
      <c r="D204" s="182">
        <v>0.7</v>
      </c>
      <c r="E204" s="188">
        <v>1288.96</v>
      </c>
      <c r="F204" s="183">
        <f ca="1">E204-(E204*INDIRECT(K204))</f>
        <v>1288.96</v>
      </c>
      <c r="G204" s="184">
        <f>B204*C204</f>
        <v>0</v>
      </c>
      <c r="H204" s="184">
        <f t="shared" si="46"/>
        <v>0</v>
      </c>
      <c r="I204" s="185">
        <f>G204*F204</f>
        <v>0</v>
      </c>
      <c r="J204" s="184">
        <f>(G204*D204)/10</f>
        <v>0</v>
      </c>
      <c r="K204" s="152" t="s">
        <v>295</v>
      </c>
    </row>
    <row r="205" spans="1:11" s="189" customFormat="1" ht="15.75">
      <c r="A205" s="187" t="s">
        <v>315</v>
      </c>
      <c r="B205" s="276"/>
      <c r="C205" s="182">
        <v>6</v>
      </c>
      <c r="D205" s="182">
        <v>0.7</v>
      </c>
      <c r="E205" s="188">
        <v>1288.96</v>
      </c>
      <c r="F205" s="183">
        <f ca="1">E205-(E205*INDIRECT(K205))</f>
        <v>1288.96</v>
      </c>
      <c r="G205" s="184">
        <f>B205*C205</f>
        <v>0</v>
      </c>
      <c r="H205" s="184">
        <f t="shared" si="46"/>
        <v>0</v>
      </c>
      <c r="I205" s="185">
        <f>G205*F205</f>
        <v>0</v>
      </c>
      <c r="J205" s="184">
        <f>(G205*D205)/10</f>
        <v>0</v>
      </c>
      <c r="K205" s="152" t="s">
        <v>295</v>
      </c>
    </row>
    <row r="206" spans="1:11" s="189" customFormat="1" ht="15.75">
      <c r="A206" s="187" t="s">
        <v>316</v>
      </c>
      <c r="B206" s="276"/>
      <c r="C206" s="182">
        <v>1</v>
      </c>
      <c r="D206" s="182">
        <v>0.7</v>
      </c>
      <c r="E206" s="188">
        <v>1429.94</v>
      </c>
      <c r="F206" s="183">
        <f ca="1">E206-(E206*INDIRECT(K206))</f>
        <v>1429.94</v>
      </c>
      <c r="G206" s="184">
        <f>B206*C206</f>
        <v>0</v>
      </c>
      <c r="H206" s="184">
        <f t="shared" si="46"/>
        <v>0</v>
      </c>
      <c r="I206" s="185">
        <f>G206*F206</f>
        <v>0</v>
      </c>
      <c r="J206" s="184">
        <f>(G206*D206)/10</f>
        <v>0</v>
      </c>
      <c r="K206" s="152" t="s">
        <v>295</v>
      </c>
    </row>
    <row r="207" spans="1:11" s="189" customFormat="1" ht="15.75">
      <c r="A207" s="174" t="s">
        <v>272</v>
      </c>
      <c r="B207" s="274"/>
      <c r="C207" s="187"/>
      <c r="D207" s="187"/>
      <c r="E207" s="187"/>
      <c r="F207" s="186">
        <f ca="1" t="shared" si="34"/>
        <v>0</v>
      </c>
      <c r="G207" s="187"/>
      <c r="H207" s="187"/>
      <c r="I207" s="187"/>
      <c r="J207" s="187"/>
      <c r="K207" s="152" t="s">
        <v>295</v>
      </c>
    </row>
    <row r="208" spans="1:11" s="189" customFormat="1" ht="15.75">
      <c r="A208" s="196" t="s">
        <v>115</v>
      </c>
      <c r="B208" s="276"/>
      <c r="C208" s="197">
        <v>6</v>
      </c>
      <c r="D208" s="197">
        <v>0.7</v>
      </c>
      <c r="E208" s="198">
        <v>396.44</v>
      </c>
      <c r="F208" s="183">
        <f ca="1" t="shared" si="34"/>
        <v>396.44</v>
      </c>
      <c r="G208" s="184">
        <f aca="true" t="shared" si="47" ref="G208:G215">B208*C208</f>
        <v>0</v>
      </c>
      <c r="H208" s="184">
        <f>10.6*B208</f>
        <v>0</v>
      </c>
      <c r="I208" s="185">
        <f aca="true" t="shared" si="48" ref="I208:I215">G208*F208</f>
        <v>0</v>
      </c>
      <c r="J208" s="184">
        <f aca="true" t="shared" si="49" ref="J208:J215">(G208*D208)/10</f>
        <v>0</v>
      </c>
      <c r="K208" s="152" t="s">
        <v>295</v>
      </c>
    </row>
    <row r="209" spans="1:11" s="189" customFormat="1" ht="15.75">
      <c r="A209" s="196" t="s">
        <v>115</v>
      </c>
      <c r="B209" s="276"/>
      <c r="C209" s="197">
        <v>6</v>
      </c>
      <c r="D209" s="197">
        <v>0.5</v>
      </c>
      <c r="E209" s="198">
        <v>278.78</v>
      </c>
      <c r="F209" s="183">
        <f ca="1" t="shared" si="34"/>
        <v>278.78</v>
      </c>
      <c r="G209" s="184">
        <f t="shared" si="47"/>
        <v>0</v>
      </c>
      <c r="H209" s="184">
        <f>6.1*B209</f>
        <v>0</v>
      </c>
      <c r="I209" s="185">
        <f t="shared" si="48"/>
        <v>0</v>
      </c>
      <c r="J209" s="184">
        <f t="shared" si="49"/>
        <v>0</v>
      </c>
      <c r="K209" s="152" t="s">
        <v>295</v>
      </c>
    </row>
    <row r="210" spans="1:11" s="189" customFormat="1" ht="15.75">
      <c r="A210" s="196" t="s">
        <v>116</v>
      </c>
      <c r="B210" s="276"/>
      <c r="C210" s="197">
        <v>6</v>
      </c>
      <c r="D210" s="197">
        <v>0.7</v>
      </c>
      <c r="E210" s="198">
        <v>572.4</v>
      </c>
      <c r="F210" s="183">
        <f ca="1" t="shared" si="34"/>
        <v>572.4</v>
      </c>
      <c r="G210" s="184">
        <f t="shared" si="47"/>
        <v>0</v>
      </c>
      <c r="H210" s="184">
        <f>10.6*B210</f>
        <v>0</v>
      </c>
      <c r="I210" s="185">
        <f t="shared" si="48"/>
        <v>0</v>
      </c>
      <c r="J210" s="184">
        <f t="shared" si="49"/>
        <v>0</v>
      </c>
      <c r="K210" s="152" t="s">
        <v>295</v>
      </c>
    </row>
    <row r="211" spans="1:11" s="189" customFormat="1" ht="15.75">
      <c r="A211" s="196" t="s">
        <v>117</v>
      </c>
      <c r="B211" s="276"/>
      <c r="C211" s="197">
        <v>6</v>
      </c>
      <c r="D211" s="197">
        <v>0.5</v>
      </c>
      <c r="E211" s="198">
        <v>371</v>
      </c>
      <c r="F211" s="183">
        <f ca="1" t="shared" si="34"/>
        <v>371</v>
      </c>
      <c r="G211" s="184">
        <f t="shared" si="47"/>
        <v>0</v>
      </c>
      <c r="H211" s="184">
        <f>6.1*B211</f>
        <v>0</v>
      </c>
      <c r="I211" s="185">
        <f t="shared" si="48"/>
        <v>0</v>
      </c>
      <c r="J211" s="184">
        <f t="shared" si="49"/>
        <v>0</v>
      </c>
      <c r="K211" s="152" t="s">
        <v>295</v>
      </c>
    </row>
    <row r="212" spans="1:11" s="189" customFormat="1" ht="15.75">
      <c r="A212" s="196" t="s">
        <v>118</v>
      </c>
      <c r="B212" s="276"/>
      <c r="C212" s="197">
        <v>6</v>
      </c>
      <c r="D212" s="197">
        <v>0.7</v>
      </c>
      <c r="E212" s="198">
        <v>731.4</v>
      </c>
      <c r="F212" s="183">
        <f ca="1" t="shared" si="34"/>
        <v>731.4</v>
      </c>
      <c r="G212" s="184">
        <f t="shared" si="47"/>
        <v>0</v>
      </c>
      <c r="H212" s="184">
        <f>10.6*B212</f>
        <v>0</v>
      </c>
      <c r="I212" s="185">
        <f t="shared" si="48"/>
        <v>0</v>
      </c>
      <c r="J212" s="184">
        <f t="shared" si="49"/>
        <v>0</v>
      </c>
      <c r="K212" s="152" t="s">
        <v>295</v>
      </c>
    </row>
    <row r="213" spans="1:11" s="189" customFormat="1" ht="15.75">
      <c r="A213" s="196" t="s">
        <v>119</v>
      </c>
      <c r="B213" s="276"/>
      <c r="C213" s="197">
        <v>6</v>
      </c>
      <c r="D213" s="197">
        <v>0.5</v>
      </c>
      <c r="E213" s="198">
        <v>508.8</v>
      </c>
      <c r="F213" s="183">
        <f ca="1" t="shared" si="34"/>
        <v>508.8</v>
      </c>
      <c r="G213" s="184">
        <f t="shared" si="47"/>
        <v>0</v>
      </c>
      <c r="H213" s="184">
        <f>6.1*B213</f>
        <v>0</v>
      </c>
      <c r="I213" s="185">
        <f t="shared" si="48"/>
        <v>0</v>
      </c>
      <c r="J213" s="184">
        <f t="shared" si="49"/>
        <v>0</v>
      </c>
      <c r="K213" s="152" t="s">
        <v>295</v>
      </c>
    </row>
    <row r="214" spans="1:11" s="189" customFormat="1" ht="15.75">
      <c r="A214" s="196" t="s">
        <v>120</v>
      </c>
      <c r="B214" s="276"/>
      <c r="C214" s="197">
        <v>6</v>
      </c>
      <c r="D214" s="197">
        <v>0.7</v>
      </c>
      <c r="E214" s="198">
        <v>1007</v>
      </c>
      <c r="F214" s="183">
        <f ca="1" t="shared" si="34"/>
        <v>1007</v>
      </c>
      <c r="G214" s="184">
        <f t="shared" si="47"/>
        <v>0</v>
      </c>
      <c r="H214" s="184">
        <f>10.6*B214</f>
        <v>0</v>
      </c>
      <c r="I214" s="185">
        <f t="shared" si="48"/>
        <v>0</v>
      </c>
      <c r="J214" s="184">
        <f t="shared" si="49"/>
        <v>0</v>
      </c>
      <c r="K214" s="152" t="s">
        <v>295</v>
      </c>
    </row>
    <row r="215" spans="1:11" s="189" customFormat="1" ht="15.75">
      <c r="A215" s="196" t="s">
        <v>121</v>
      </c>
      <c r="B215" s="276"/>
      <c r="C215" s="197">
        <v>6</v>
      </c>
      <c r="D215" s="197">
        <v>0.7</v>
      </c>
      <c r="E215" s="198">
        <v>1325</v>
      </c>
      <c r="F215" s="183">
        <f ca="1" t="shared" si="34"/>
        <v>1325</v>
      </c>
      <c r="G215" s="184">
        <f t="shared" si="47"/>
        <v>0</v>
      </c>
      <c r="H215" s="184">
        <f>10.6*B215</f>
        <v>0</v>
      </c>
      <c r="I215" s="185">
        <f t="shared" si="48"/>
        <v>0</v>
      </c>
      <c r="J215" s="184">
        <f t="shared" si="49"/>
        <v>0</v>
      </c>
      <c r="K215" s="152" t="s">
        <v>295</v>
      </c>
    </row>
    <row r="216" spans="1:11" s="189" customFormat="1" ht="15.75">
      <c r="A216" s="174" t="s">
        <v>273</v>
      </c>
      <c r="B216" s="274"/>
      <c r="C216" s="187"/>
      <c r="D216" s="187"/>
      <c r="E216" s="187"/>
      <c r="F216" s="186">
        <f ca="1" t="shared" si="34"/>
        <v>0</v>
      </c>
      <c r="G216" s="187"/>
      <c r="H216" s="187"/>
      <c r="I216" s="187"/>
      <c r="J216" s="187"/>
      <c r="K216" s="152" t="s">
        <v>295</v>
      </c>
    </row>
    <row r="217" spans="1:11" s="189" customFormat="1" ht="15.75">
      <c r="A217" s="187" t="s">
        <v>78</v>
      </c>
      <c r="B217" s="276"/>
      <c r="C217" s="182">
        <v>6</v>
      </c>
      <c r="D217" s="182">
        <v>0.7</v>
      </c>
      <c r="E217" s="198">
        <v>838.2</v>
      </c>
      <c r="F217" s="183">
        <f ca="1" t="shared" si="34"/>
        <v>838.2</v>
      </c>
      <c r="G217" s="184">
        <f aca="true" t="shared" si="50" ref="G217:G228">B217*C217</f>
        <v>0</v>
      </c>
      <c r="H217" s="184">
        <f>10.005*B217</f>
        <v>0</v>
      </c>
      <c r="I217" s="185">
        <f aca="true" t="shared" si="51" ref="I217:I228">G217*F217</f>
        <v>0</v>
      </c>
      <c r="J217" s="184">
        <f aca="true" t="shared" si="52" ref="J217:J228">(G217*D217)/10</f>
        <v>0</v>
      </c>
      <c r="K217" s="152" t="s">
        <v>295</v>
      </c>
    </row>
    <row r="218" spans="1:11" s="189" customFormat="1" ht="15.75">
      <c r="A218" s="187" t="s">
        <v>317</v>
      </c>
      <c r="B218" s="276"/>
      <c r="C218" s="182">
        <v>6</v>
      </c>
      <c r="D218" s="182">
        <v>0.7</v>
      </c>
      <c r="E218" s="198">
        <v>957.18</v>
      </c>
      <c r="F218" s="183">
        <f ca="1">E218-(E218*INDIRECT(K218))</f>
        <v>957.18</v>
      </c>
      <c r="G218" s="184">
        <f>B218*C218</f>
        <v>0</v>
      </c>
      <c r="H218" s="184">
        <f>10.005*B218</f>
        <v>0</v>
      </c>
      <c r="I218" s="185">
        <f>G218*F218</f>
        <v>0</v>
      </c>
      <c r="J218" s="184">
        <f>(G218*D218)/10</f>
        <v>0</v>
      </c>
      <c r="K218" s="152" t="s">
        <v>295</v>
      </c>
    </row>
    <row r="219" spans="1:11" s="189" customFormat="1" ht="15.75">
      <c r="A219" s="187" t="s">
        <v>79</v>
      </c>
      <c r="B219" s="276"/>
      <c r="C219" s="182">
        <v>6</v>
      </c>
      <c r="D219" s="182">
        <v>0.7</v>
      </c>
      <c r="E219" s="198">
        <v>1016.4</v>
      </c>
      <c r="F219" s="183">
        <f ca="1">E219-(E219*INDIRECT(K219))</f>
        <v>1016.4</v>
      </c>
      <c r="G219" s="184">
        <f>B219*C219</f>
        <v>0</v>
      </c>
      <c r="H219" s="184">
        <f>10.005*B219</f>
        <v>0</v>
      </c>
      <c r="I219" s="185">
        <f>G219*F219</f>
        <v>0</v>
      </c>
      <c r="J219" s="184">
        <f>(G219*D219)/10</f>
        <v>0</v>
      </c>
      <c r="K219" s="152" t="s">
        <v>295</v>
      </c>
    </row>
    <row r="220" spans="1:11" s="189" customFormat="1" ht="15.75">
      <c r="A220" s="187" t="s">
        <v>318</v>
      </c>
      <c r="B220" s="276"/>
      <c r="C220" s="182">
        <v>6</v>
      </c>
      <c r="D220" s="182">
        <v>0.7</v>
      </c>
      <c r="E220" s="198">
        <v>1115.4</v>
      </c>
      <c r="F220" s="183">
        <f ca="1" t="shared" si="34"/>
        <v>1115.4</v>
      </c>
      <c r="G220" s="184">
        <f t="shared" si="50"/>
        <v>0</v>
      </c>
      <c r="H220" s="184">
        <f>10.005*B220</f>
        <v>0</v>
      </c>
      <c r="I220" s="185">
        <f t="shared" si="51"/>
        <v>0</v>
      </c>
      <c r="J220" s="184">
        <f t="shared" si="52"/>
        <v>0</v>
      </c>
      <c r="K220" s="152" t="s">
        <v>295</v>
      </c>
    </row>
    <row r="221" spans="1:11" s="189" customFormat="1" ht="15.75">
      <c r="A221" s="187" t="s">
        <v>80</v>
      </c>
      <c r="B221" s="276"/>
      <c r="C221" s="182">
        <v>6</v>
      </c>
      <c r="D221" s="182">
        <v>0.5</v>
      </c>
      <c r="E221" s="198">
        <v>222.2</v>
      </c>
      <c r="F221" s="183">
        <f ca="1" t="shared" si="34"/>
        <v>222.2</v>
      </c>
      <c r="G221" s="184">
        <f t="shared" si="50"/>
        <v>0</v>
      </c>
      <c r="H221" s="184">
        <f>6.1*B221</f>
        <v>0</v>
      </c>
      <c r="I221" s="185">
        <f t="shared" si="51"/>
        <v>0</v>
      </c>
      <c r="J221" s="184">
        <f t="shared" si="52"/>
        <v>0</v>
      </c>
      <c r="K221" s="152" t="s">
        <v>295</v>
      </c>
    </row>
    <row r="222" spans="1:11" s="189" customFormat="1" ht="15.75">
      <c r="A222" s="187" t="s">
        <v>80</v>
      </c>
      <c r="B222" s="276"/>
      <c r="C222" s="182">
        <v>20</v>
      </c>
      <c r="D222" s="182">
        <v>0.375</v>
      </c>
      <c r="E222" s="198">
        <v>179.3</v>
      </c>
      <c r="F222" s="183">
        <f ca="1" t="shared" si="34"/>
        <v>179.3</v>
      </c>
      <c r="G222" s="184">
        <f t="shared" si="50"/>
        <v>0</v>
      </c>
      <c r="H222" s="184">
        <f>16.2*B222</f>
        <v>0</v>
      </c>
      <c r="I222" s="185">
        <f t="shared" si="51"/>
        <v>0</v>
      </c>
      <c r="J222" s="184">
        <f t="shared" si="52"/>
        <v>0</v>
      </c>
      <c r="K222" s="152" t="s">
        <v>295</v>
      </c>
    </row>
    <row r="223" spans="1:11" s="189" customFormat="1" ht="15.75">
      <c r="A223" s="187" t="s">
        <v>80</v>
      </c>
      <c r="B223" s="276"/>
      <c r="C223" s="182">
        <v>25</v>
      </c>
      <c r="D223" s="182">
        <v>0.25</v>
      </c>
      <c r="E223" s="198">
        <v>121</v>
      </c>
      <c r="F223" s="183">
        <f aca="true" ca="1" t="shared" si="53" ref="F223:F289">E223-(E223*INDIRECT(K223))</f>
        <v>121</v>
      </c>
      <c r="G223" s="184">
        <f t="shared" si="50"/>
        <v>0</v>
      </c>
      <c r="H223" s="184">
        <f>13.7*B223</f>
        <v>0</v>
      </c>
      <c r="I223" s="185">
        <f t="shared" si="51"/>
        <v>0</v>
      </c>
      <c r="J223" s="184">
        <f t="shared" si="52"/>
        <v>0</v>
      </c>
      <c r="K223" s="152" t="s">
        <v>295</v>
      </c>
    </row>
    <row r="224" spans="1:11" s="189" customFormat="1" ht="15.75">
      <c r="A224" s="187" t="s">
        <v>80</v>
      </c>
      <c r="B224" s="276"/>
      <c r="C224" s="182">
        <v>50</v>
      </c>
      <c r="D224" s="182">
        <v>0.1</v>
      </c>
      <c r="E224" s="198">
        <v>56.65</v>
      </c>
      <c r="F224" s="183">
        <f ca="1" t="shared" si="53"/>
        <v>56.65</v>
      </c>
      <c r="G224" s="184">
        <f t="shared" si="50"/>
        <v>0</v>
      </c>
      <c r="H224" s="184">
        <f>12.2*B224</f>
        <v>0</v>
      </c>
      <c r="I224" s="185">
        <f t="shared" si="51"/>
        <v>0</v>
      </c>
      <c r="J224" s="184">
        <f t="shared" si="52"/>
        <v>0</v>
      </c>
      <c r="K224" s="152" t="s">
        <v>295</v>
      </c>
    </row>
    <row r="225" spans="1:11" s="189" customFormat="1" ht="15.75">
      <c r="A225" s="187" t="s">
        <v>81</v>
      </c>
      <c r="B225" s="276"/>
      <c r="C225" s="182">
        <v>6</v>
      </c>
      <c r="D225" s="182">
        <v>0.5</v>
      </c>
      <c r="E225" s="198">
        <v>262.9</v>
      </c>
      <c r="F225" s="183">
        <f ca="1" t="shared" si="53"/>
        <v>262.9</v>
      </c>
      <c r="G225" s="184">
        <f t="shared" si="50"/>
        <v>0</v>
      </c>
      <c r="H225" s="184">
        <f>6.1*B225</f>
        <v>0</v>
      </c>
      <c r="I225" s="185">
        <f t="shared" si="51"/>
        <v>0</v>
      </c>
      <c r="J225" s="184">
        <f t="shared" si="52"/>
        <v>0</v>
      </c>
      <c r="K225" s="152" t="s">
        <v>295</v>
      </c>
    </row>
    <row r="226" spans="1:11" s="189" customFormat="1" ht="15.75">
      <c r="A226" s="187" t="s">
        <v>82</v>
      </c>
      <c r="B226" s="276"/>
      <c r="C226" s="182">
        <v>20</v>
      </c>
      <c r="D226" s="182">
        <v>0.375</v>
      </c>
      <c r="E226" s="198">
        <v>211.2</v>
      </c>
      <c r="F226" s="183">
        <f ca="1" t="shared" si="53"/>
        <v>211.2</v>
      </c>
      <c r="G226" s="184">
        <f t="shared" si="50"/>
        <v>0</v>
      </c>
      <c r="H226" s="184">
        <f>16.2*B226</f>
        <v>0</v>
      </c>
      <c r="I226" s="185">
        <f t="shared" si="51"/>
        <v>0</v>
      </c>
      <c r="J226" s="184">
        <f t="shared" si="52"/>
        <v>0</v>
      </c>
      <c r="K226" s="152" t="s">
        <v>295</v>
      </c>
    </row>
    <row r="227" spans="1:11" s="189" customFormat="1" ht="15.75">
      <c r="A227" s="187" t="s">
        <v>82</v>
      </c>
      <c r="B227" s="276"/>
      <c r="C227" s="182">
        <v>25</v>
      </c>
      <c r="D227" s="182">
        <v>0.25</v>
      </c>
      <c r="E227" s="198">
        <v>140.8</v>
      </c>
      <c r="F227" s="183">
        <f ca="1" t="shared" si="53"/>
        <v>140.8</v>
      </c>
      <c r="G227" s="184">
        <f t="shared" si="50"/>
        <v>0</v>
      </c>
      <c r="H227" s="184">
        <f>13.7*B227</f>
        <v>0</v>
      </c>
      <c r="I227" s="185">
        <f t="shared" si="51"/>
        <v>0</v>
      </c>
      <c r="J227" s="184">
        <f t="shared" si="52"/>
        <v>0</v>
      </c>
      <c r="K227" s="152" t="s">
        <v>295</v>
      </c>
    </row>
    <row r="228" spans="1:11" s="189" customFormat="1" ht="15.75">
      <c r="A228" s="187" t="s">
        <v>82</v>
      </c>
      <c r="B228" s="276"/>
      <c r="C228" s="182">
        <v>50</v>
      </c>
      <c r="D228" s="182">
        <v>0.1</v>
      </c>
      <c r="E228" s="198">
        <v>65.45</v>
      </c>
      <c r="F228" s="183">
        <f ca="1" t="shared" si="53"/>
        <v>65.45</v>
      </c>
      <c r="G228" s="184">
        <f t="shared" si="50"/>
        <v>0</v>
      </c>
      <c r="H228" s="184">
        <f>12.2*B228</f>
        <v>0</v>
      </c>
      <c r="I228" s="185">
        <f t="shared" si="51"/>
        <v>0</v>
      </c>
      <c r="J228" s="184">
        <f t="shared" si="52"/>
        <v>0</v>
      </c>
      <c r="K228" s="152" t="s">
        <v>295</v>
      </c>
    </row>
    <row r="229" spans="1:11" s="189" customFormat="1" ht="15.75">
      <c r="A229" s="174" t="s">
        <v>274</v>
      </c>
      <c r="B229" s="274"/>
      <c r="C229" s="187"/>
      <c r="D229" s="187"/>
      <c r="E229" s="187"/>
      <c r="F229" s="186">
        <f ca="1" t="shared" si="53"/>
        <v>0</v>
      </c>
      <c r="G229" s="187"/>
      <c r="H229" s="187"/>
      <c r="I229" s="187"/>
      <c r="J229" s="187"/>
      <c r="K229" s="152" t="s">
        <v>295</v>
      </c>
    </row>
    <row r="230" spans="1:11" s="189" customFormat="1" ht="15.75">
      <c r="A230" s="196" t="s">
        <v>175</v>
      </c>
      <c r="B230" s="280"/>
      <c r="C230" s="215">
        <v>12</v>
      </c>
      <c r="D230" s="197">
        <v>0.5</v>
      </c>
      <c r="E230" s="198">
        <v>407.4</v>
      </c>
      <c r="F230" s="183">
        <f ca="1" t="shared" si="53"/>
        <v>407.4</v>
      </c>
      <c r="G230" s="184">
        <f aca="true" t="shared" si="54" ref="G230:G249">B230*C230</f>
        <v>0</v>
      </c>
      <c r="H230" s="184">
        <f>11.71*B230</f>
        <v>0</v>
      </c>
      <c r="I230" s="185">
        <f aca="true" t="shared" si="55" ref="I230:I249">G230*F230</f>
        <v>0</v>
      </c>
      <c r="J230" s="184">
        <f aca="true" t="shared" si="56" ref="J230:J249">(G230*D230)/10</f>
        <v>0</v>
      </c>
      <c r="K230" s="152" t="s">
        <v>295</v>
      </c>
    </row>
    <row r="231" spans="1:11" s="189" customFormat="1" ht="15.75">
      <c r="A231" s="196" t="s">
        <v>175</v>
      </c>
      <c r="B231" s="280"/>
      <c r="C231" s="215">
        <v>12</v>
      </c>
      <c r="D231" s="197">
        <v>0.7</v>
      </c>
      <c r="E231" s="198">
        <v>571.2</v>
      </c>
      <c r="F231" s="183">
        <f ca="1" t="shared" si="53"/>
        <v>571.2</v>
      </c>
      <c r="G231" s="184">
        <f t="shared" si="54"/>
        <v>0</v>
      </c>
      <c r="H231" s="184">
        <f>14.71*B231</f>
        <v>0</v>
      </c>
      <c r="I231" s="185">
        <f t="shared" si="55"/>
        <v>0</v>
      </c>
      <c r="J231" s="184">
        <f t="shared" si="56"/>
        <v>0</v>
      </c>
      <c r="K231" s="152" t="s">
        <v>295</v>
      </c>
    </row>
    <row r="232" spans="1:11" s="189" customFormat="1" ht="15.75">
      <c r="A232" s="196" t="s">
        <v>176</v>
      </c>
      <c r="B232" s="280"/>
      <c r="C232" s="215">
        <v>24</v>
      </c>
      <c r="D232" s="197">
        <v>0.25</v>
      </c>
      <c r="E232" s="198">
        <v>233.1</v>
      </c>
      <c r="F232" s="183">
        <f ca="1" t="shared" si="53"/>
        <v>233.1</v>
      </c>
      <c r="G232" s="184">
        <f t="shared" si="54"/>
        <v>0</v>
      </c>
      <c r="H232" s="184">
        <f>12.57*B232</f>
        <v>0</v>
      </c>
      <c r="I232" s="185">
        <f t="shared" si="55"/>
        <v>0</v>
      </c>
      <c r="J232" s="184">
        <f t="shared" si="56"/>
        <v>0</v>
      </c>
      <c r="K232" s="152" t="s">
        <v>295</v>
      </c>
    </row>
    <row r="233" spans="1:11" s="189" customFormat="1" ht="15.75">
      <c r="A233" s="196" t="s">
        <v>177</v>
      </c>
      <c r="B233" s="280"/>
      <c r="C233" s="215">
        <v>12</v>
      </c>
      <c r="D233" s="197">
        <v>0.5</v>
      </c>
      <c r="E233" s="198">
        <v>438.9</v>
      </c>
      <c r="F233" s="183">
        <f ca="1" t="shared" si="53"/>
        <v>438.9</v>
      </c>
      <c r="G233" s="184">
        <f t="shared" si="54"/>
        <v>0</v>
      </c>
      <c r="H233" s="184">
        <f>11.71*B233</f>
        <v>0</v>
      </c>
      <c r="I233" s="185">
        <f t="shared" si="55"/>
        <v>0</v>
      </c>
      <c r="J233" s="184">
        <f t="shared" si="56"/>
        <v>0</v>
      </c>
      <c r="K233" s="152" t="s">
        <v>295</v>
      </c>
    </row>
    <row r="234" spans="1:11" s="189" customFormat="1" ht="15.75">
      <c r="A234" s="196" t="s">
        <v>177</v>
      </c>
      <c r="B234" s="280"/>
      <c r="C234" s="215">
        <v>12</v>
      </c>
      <c r="D234" s="197">
        <v>0.7</v>
      </c>
      <c r="E234" s="198">
        <v>613.2</v>
      </c>
      <c r="F234" s="183">
        <f ca="1" t="shared" si="53"/>
        <v>613.2</v>
      </c>
      <c r="G234" s="184">
        <f t="shared" si="54"/>
        <v>0</v>
      </c>
      <c r="H234" s="184">
        <f>14.71*B234</f>
        <v>0</v>
      </c>
      <c r="I234" s="185">
        <f t="shared" si="55"/>
        <v>0</v>
      </c>
      <c r="J234" s="184">
        <f t="shared" si="56"/>
        <v>0</v>
      </c>
      <c r="K234" s="152" t="s">
        <v>295</v>
      </c>
    </row>
    <row r="235" spans="1:11" s="189" customFormat="1" ht="15.75">
      <c r="A235" s="196" t="s">
        <v>178</v>
      </c>
      <c r="B235" s="280"/>
      <c r="C235" s="215">
        <v>12</v>
      </c>
      <c r="D235" s="197">
        <v>0.7</v>
      </c>
      <c r="E235" s="198">
        <v>644.7</v>
      </c>
      <c r="F235" s="183">
        <f ca="1" t="shared" si="53"/>
        <v>644.7</v>
      </c>
      <c r="G235" s="184">
        <f t="shared" si="54"/>
        <v>0</v>
      </c>
      <c r="H235" s="184">
        <f>14.71*B235</f>
        <v>0</v>
      </c>
      <c r="I235" s="185">
        <f t="shared" si="55"/>
        <v>0</v>
      </c>
      <c r="J235" s="184">
        <f t="shared" si="56"/>
        <v>0</v>
      </c>
      <c r="K235" s="152" t="s">
        <v>295</v>
      </c>
    </row>
    <row r="236" spans="1:11" s="189" customFormat="1" ht="15.75">
      <c r="A236" s="196" t="s">
        <v>179</v>
      </c>
      <c r="B236" s="280"/>
      <c r="C236" s="215">
        <v>12</v>
      </c>
      <c r="D236" s="197">
        <v>0.5</v>
      </c>
      <c r="E236" s="198">
        <v>470.4</v>
      </c>
      <c r="F236" s="183">
        <f ca="1" t="shared" si="53"/>
        <v>470.4</v>
      </c>
      <c r="G236" s="184">
        <f t="shared" si="54"/>
        <v>0</v>
      </c>
      <c r="H236" s="184">
        <f>11.71*B236</f>
        <v>0</v>
      </c>
      <c r="I236" s="185">
        <f t="shared" si="55"/>
        <v>0</v>
      </c>
      <c r="J236" s="184">
        <f t="shared" si="56"/>
        <v>0</v>
      </c>
      <c r="K236" s="152" t="s">
        <v>295</v>
      </c>
    </row>
    <row r="237" spans="1:11" s="189" customFormat="1" ht="15.75">
      <c r="A237" s="196" t="s">
        <v>180</v>
      </c>
      <c r="B237" s="280"/>
      <c r="C237" s="215">
        <v>12</v>
      </c>
      <c r="D237" s="197">
        <v>0.5</v>
      </c>
      <c r="E237" s="198">
        <v>501.9</v>
      </c>
      <c r="F237" s="183">
        <f ca="1" t="shared" si="53"/>
        <v>501.9</v>
      </c>
      <c r="G237" s="184">
        <f t="shared" si="54"/>
        <v>0</v>
      </c>
      <c r="H237" s="184">
        <f>11.71*B237</f>
        <v>0</v>
      </c>
      <c r="I237" s="185">
        <f t="shared" si="55"/>
        <v>0</v>
      </c>
      <c r="J237" s="184">
        <f t="shared" si="56"/>
        <v>0</v>
      </c>
      <c r="K237" s="152" t="s">
        <v>295</v>
      </c>
    </row>
    <row r="238" spans="1:11" s="189" customFormat="1" ht="15.75">
      <c r="A238" s="196" t="s">
        <v>179</v>
      </c>
      <c r="B238" s="280"/>
      <c r="C238" s="215">
        <v>12</v>
      </c>
      <c r="D238" s="197">
        <v>0.7</v>
      </c>
      <c r="E238" s="198">
        <v>660.45</v>
      </c>
      <c r="F238" s="183">
        <f ca="1" t="shared" si="53"/>
        <v>660.45</v>
      </c>
      <c r="G238" s="184">
        <f t="shared" si="54"/>
        <v>0</v>
      </c>
      <c r="H238" s="184">
        <f>14.71*B238</f>
        <v>0</v>
      </c>
      <c r="I238" s="185">
        <f t="shared" si="55"/>
        <v>0</v>
      </c>
      <c r="J238" s="184">
        <f t="shared" si="56"/>
        <v>0</v>
      </c>
      <c r="K238" s="152" t="s">
        <v>295</v>
      </c>
    </row>
    <row r="239" spans="1:11" s="189" customFormat="1" ht="15.75">
      <c r="A239" s="196" t="s">
        <v>180</v>
      </c>
      <c r="B239" s="280"/>
      <c r="C239" s="215">
        <v>12</v>
      </c>
      <c r="D239" s="197">
        <v>0.7</v>
      </c>
      <c r="E239" s="198">
        <v>691.95</v>
      </c>
      <c r="F239" s="183">
        <f ca="1" t="shared" si="53"/>
        <v>691.95</v>
      </c>
      <c r="G239" s="184">
        <f t="shared" si="54"/>
        <v>0</v>
      </c>
      <c r="H239" s="184">
        <f>14.71*B239</f>
        <v>0</v>
      </c>
      <c r="I239" s="185">
        <f t="shared" si="55"/>
        <v>0</v>
      </c>
      <c r="J239" s="184">
        <f t="shared" si="56"/>
        <v>0</v>
      </c>
      <c r="K239" s="152" t="s">
        <v>295</v>
      </c>
    </row>
    <row r="240" spans="1:11" s="189" customFormat="1" ht="15.75">
      <c r="A240" s="196" t="s">
        <v>181</v>
      </c>
      <c r="B240" s="280"/>
      <c r="C240" s="215">
        <v>12</v>
      </c>
      <c r="D240" s="197">
        <v>0.5</v>
      </c>
      <c r="E240" s="198">
        <v>591.15</v>
      </c>
      <c r="F240" s="183">
        <f ca="1" t="shared" si="53"/>
        <v>591.15</v>
      </c>
      <c r="G240" s="184">
        <f t="shared" si="54"/>
        <v>0</v>
      </c>
      <c r="H240" s="184">
        <f>11.71*B240</f>
        <v>0</v>
      </c>
      <c r="I240" s="185">
        <f t="shared" si="55"/>
        <v>0</v>
      </c>
      <c r="J240" s="184">
        <f t="shared" si="56"/>
        <v>0</v>
      </c>
      <c r="K240" s="152" t="s">
        <v>295</v>
      </c>
    </row>
    <row r="241" spans="1:11" s="189" customFormat="1" ht="15.75">
      <c r="A241" s="196" t="s">
        <v>182</v>
      </c>
      <c r="B241" s="280"/>
      <c r="C241" s="215">
        <v>12</v>
      </c>
      <c r="D241" s="197">
        <v>0.5</v>
      </c>
      <c r="E241" s="198">
        <v>622.65</v>
      </c>
      <c r="F241" s="183">
        <f ca="1" t="shared" si="53"/>
        <v>622.65</v>
      </c>
      <c r="G241" s="184">
        <f t="shared" si="54"/>
        <v>0</v>
      </c>
      <c r="H241" s="184">
        <f>11.71*B241</f>
        <v>0</v>
      </c>
      <c r="I241" s="185">
        <f t="shared" si="55"/>
        <v>0</v>
      </c>
      <c r="J241" s="184">
        <f t="shared" si="56"/>
        <v>0</v>
      </c>
      <c r="K241" s="152" t="s">
        <v>295</v>
      </c>
    </row>
    <row r="242" spans="1:11" s="189" customFormat="1" ht="15.75">
      <c r="A242" s="196" t="s">
        <v>319</v>
      </c>
      <c r="B242" s="307"/>
      <c r="C242" s="215">
        <v>12</v>
      </c>
      <c r="D242" s="197">
        <v>0.5</v>
      </c>
      <c r="E242" s="198">
        <v>893.58</v>
      </c>
      <c r="F242" s="183">
        <f ca="1">E242-(E242*INDIRECT(K242))</f>
        <v>893.58</v>
      </c>
      <c r="G242" s="184">
        <f>B242*C242</f>
        <v>0</v>
      </c>
      <c r="H242" s="184">
        <f>11.71*B242</f>
        <v>0</v>
      </c>
      <c r="I242" s="185">
        <f>G242*F242</f>
        <v>0</v>
      </c>
      <c r="J242" s="184">
        <f>(G242*D242)/10</f>
        <v>0</v>
      </c>
      <c r="K242" s="152" t="s">
        <v>295</v>
      </c>
    </row>
    <row r="243" spans="1:11" s="189" customFormat="1" ht="15.75">
      <c r="A243" s="196" t="s">
        <v>181</v>
      </c>
      <c r="B243" s="280"/>
      <c r="C243" s="215">
        <v>12</v>
      </c>
      <c r="D243" s="197">
        <v>0.7</v>
      </c>
      <c r="E243" s="198">
        <v>823.2</v>
      </c>
      <c r="F243" s="183">
        <f ca="1" t="shared" si="53"/>
        <v>823.2</v>
      </c>
      <c r="G243" s="184">
        <f t="shared" si="54"/>
        <v>0</v>
      </c>
      <c r="H243" s="184">
        <f>14.71*B243</f>
        <v>0</v>
      </c>
      <c r="I243" s="185">
        <f t="shared" si="55"/>
        <v>0</v>
      </c>
      <c r="J243" s="184">
        <f t="shared" si="56"/>
        <v>0</v>
      </c>
      <c r="K243" s="152" t="s">
        <v>295</v>
      </c>
    </row>
    <row r="244" spans="1:11" s="189" customFormat="1" ht="15.75">
      <c r="A244" s="196" t="s">
        <v>182</v>
      </c>
      <c r="B244" s="280"/>
      <c r="C244" s="215">
        <v>12</v>
      </c>
      <c r="D244" s="197">
        <v>0.7</v>
      </c>
      <c r="E244" s="198">
        <v>854.7</v>
      </c>
      <c r="F244" s="183">
        <f ca="1" t="shared" si="53"/>
        <v>854.7</v>
      </c>
      <c r="G244" s="184">
        <f t="shared" si="54"/>
        <v>0</v>
      </c>
      <c r="H244" s="184">
        <f>14.71*B244</f>
        <v>0</v>
      </c>
      <c r="I244" s="185">
        <f t="shared" si="55"/>
        <v>0</v>
      </c>
      <c r="J244" s="184">
        <f t="shared" si="56"/>
        <v>0</v>
      </c>
      <c r="K244" s="152" t="s">
        <v>295</v>
      </c>
    </row>
    <row r="245" spans="1:11" s="189" customFormat="1" ht="15.75">
      <c r="A245" s="196" t="s">
        <v>183</v>
      </c>
      <c r="B245" s="280"/>
      <c r="C245" s="215">
        <v>12</v>
      </c>
      <c r="D245" s="197">
        <v>0.5</v>
      </c>
      <c r="E245" s="198">
        <v>696.15</v>
      </c>
      <c r="F245" s="183">
        <f ca="1" t="shared" si="53"/>
        <v>696.15</v>
      </c>
      <c r="G245" s="184">
        <f t="shared" si="54"/>
        <v>0</v>
      </c>
      <c r="H245" s="184">
        <f>11.71*B245</f>
        <v>0</v>
      </c>
      <c r="I245" s="185">
        <f t="shared" si="55"/>
        <v>0</v>
      </c>
      <c r="J245" s="184">
        <f t="shared" si="56"/>
        <v>0</v>
      </c>
      <c r="K245" s="152" t="s">
        <v>295</v>
      </c>
    </row>
    <row r="246" spans="1:11" s="189" customFormat="1" ht="15.75">
      <c r="A246" s="196" t="s">
        <v>184</v>
      </c>
      <c r="B246" s="280"/>
      <c r="C246" s="215">
        <v>12</v>
      </c>
      <c r="D246" s="197">
        <v>0.5</v>
      </c>
      <c r="E246" s="198">
        <v>727.65</v>
      </c>
      <c r="F246" s="183">
        <f ca="1" t="shared" si="53"/>
        <v>727.65</v>
      </c>
      <c r="G246" s="184">
        <f t="shared" si="54"/>
        <v>0</v>
      </c>
      <c r="H246" s="184">
        <f>11.71*B246</f>
        <v>0</v>
      </c>
      <c r="I246" s="185">
        <f t="shared" si="55"/>
        <v>0</v>
      </c>
      <c r="J246" s="184">
        <f t="shared" si="56"/>
        <v>0</v>
      </c>
      <c r="K246" s="152" t="s">
        <v>295</v>
      </c>
    </row>
    <row r="247" spans="1:11" s="189" customFormat="1" ht="15.75">
      <c r="A247" s="196" t="s">
        <v>183</v>
      </c>
      <c r="B247" s="280"/>
      <c r="C247" s="215">
        <v>12</v>
      </c>
      <c r="D247" s="197">
        <v>0.7</v>
      </c>
      <c r="E247" s="198">
        <v>970.2</v>
      </c>
      <c r="F247" s="183">
        <f ca="1" t="shared" si="53"/>
        <v>970.2</v>
      </c>
      <c r="G247" s="184">
        <f t="shared" si="54"/>
        <v>0</v>
      </c>
      <c r="H247" s="184">
        <f>14.71*B247</f>
        <v>0</v>
      </c>
      <c r="I247" s="185">
        <f t="shared" si="55"/>
        <v>0</v>
      </c>
      <c r="J247" s="184">
        <f t="shared" si="56"/>
        <v>0</v>
      </c>
      <c r="K247" s="152" t="s">
        <v>295</v>
      </c>
    </row>
    <row r="248" spans="1:11" s="189" customFormat="1" ht="15.75">
      <c r="A248" s="196" t="s">
        <v>184</v>
      </c>
      <c r="B248" s="280"/>
      <c r="C248" s="215">
        <v>12</v>
      </c>
      <c r="D248" s="197">
        <v>0.7</v>
      </c>
      <c r="E248" s="198">
        <v>1007.1</v>
      </c>
      <c r="F248" s="183">
        <f ca="1" t="shared" si="53"/>
        <v>1007.1</v>
      </c>
      <c r="G248" s="184">
        <f t="shared" si="54"/>
        <v>0</v>
      </c>
      <c r="H248" s="184">
        <f>14.71*B248</f>
        <v>0</v>
      </c>
      <c r="I248" s="185">
        <f t="shared" si="55"/>
        <v>0</v>
      </c>
      <c r="J248" s="184">
        <f t="shared" si="56"/>
        <v>0</v>
      </c>
      <c r="K248" s="152" t="s">
        <v>295</v>
      </c>
    </row>
    <row r="249" spans="1:11" s="189" customFormat="1" ht="15.75">
      <c r="A249" s="196" t="s">
        <v>185</v>
      </c>
      <c r="B249" s="280"/>
      <c r="C249" s="215">
        <v>6</v>
      </c>
      <c r="D249" s="197">
        <v>0.5</v>
      </c>
      <c r="E249" s="198">
        <v>832.65</v>
      </c>
      <c r="F249" s="183">
        <f ca="1" t="shared" si="53"/>
        <v>832.65</v>
      </c>
      <c r="G249" s="184">
        <f t="shared" si="54"/>
        <v>0</v>
      </c>
      <c r="H249" s="184">
        <f>7.32*B249</f>
        <v>0</v>
      </c>
      <c r="I249" s="185">
        <f t="shared" si="55"/>
        <v>0</v>
      </c>
      <c r="J249" s="184">
        <f t="shared" si="56"/>
        <v>0</v>
      </c>
      <c r="K249" s="152" t="s">
        <v>295</v>
      </c>
    </row>
    <row r="250" spans="1:11" s="168" customFormat="1" ht="37.5">
      <c r="A250" s="169" t="s">
        <v>269</v>
      </c>
      <c r="B250" s="308"/>
      <c r="C250" s="223"/>
      <c r="D250" s="223"/>
      <c r="E250" s="224"/>
      <c r="F250" s="225">
        <f ca="1" t="shared" si="53"/>
        <v>0</v>
      </c>
      <c r="G250" s="226"/>
      <c r="H250" s="226"/>
      <c r="I250" s="226"/>
      <c r="J250" s="226"/>
      <c r="K250" s="152" t="s">
        <v>295</v>
      </c>
    </row>
    <row r="251" spans="1:11" s="189" customFormat="1" ht="15.75">
      <c r="A251" s="196" t="s">
        <v>152</v>
      </c>
      <c r="B251" s="284"/>
      <c r="C251" s="215">
        <v>12</v>
      </c>
      <c r="D251" s="197">
        <v>0.5</v>
      </c>
      <c r="E251" s="198">
        <v>207.76</v>
      </c>
      <c r="F251" s="183">
        <f ca="1" t="shared" si="53"/>
        <v>207.76</v>
      </c>
      <c r="G251" s="184">
        <f>B251*C251</f>
        <v>0</v>
      </c>
      <c r="H251" s="184">
        <f>10*B251</f>
        <v>0</v>
      </c>
      <c r="I251" s="185">
        <f aca="true" t="shared" si="57" ref="I251:I257">G251*F251</f>
        <v>0</v>
      </c>
      <c r="J251" s="184">
        <f aca="true" t="shared" si="58" ref="J251:J257">(G251*D251)/10</f>
        <v>0</v>
      </c>
      <c r="K251" s="152" t="s">
        <v>295</v>
      </c>
    </row>
    <row r="252" spans="1:11" s="189" customFormat="1" ht="15.75">
      <c r="A252" s="196" t="s">
        <v>152</v>
      </c>
      <c r="B252" s="284"/>
      <c r="C252" s="215">
        <v>12</v>
      </c>
      <c r="D252" s="197">
        <v>0.2</v>
      </c>
      <c r="E252" s="198">
        <v>103.88</v>
      </c>
      <c r="F252" s="183">
        <f ca="1" t="shared" si="53"/>
        <v>103.88</v>
      </c>
      <c r="G252" s="184">
        <f aca="true" t="shared" si="59" ref="G252:G257">B252*C252</f>
        <v>0</v>
      </c>
      <c r="H252" s="184">
        <f>4*B252</f>
        <v>0</v>
      </c>
      <c r="I252" s="185">
        <f t="shared" si="57"/>
        <v>0</v>
      </c>
      <c r="J252" s="184">
        <f t="shared" si="58"/>
        <v>0</v>
      </c>
      <c r="K252" s="152" t="s">
        <v>295</v>
      </c>
    </row>
    <row r="253" spans="1:11" s="189" customFormat="1" ht="15.75">
      <c r="A253" s="196" t="s">
        <v>153</v>
      </c>
      <c r="B253" s="284"/>
      <c r="C253" s="215">
        <v>12</v>
      </c>
      <c r="D253" s="197">
        <v>0.5</v>
      </c>
      <c r="E253" s="198">
        <v>258.64</v>
      </c>
      <c r="F253" s="183">
        <f ca="1" t="shared" si="53"/>
        <v>258.64</v>
      </c>
      <c r="G253" s="184">
        <f t="shared" si="59"/>
        <v>0</v>
      </c>
      <c r="H253" s="184">
        <f>10*B253</f>
        <v>0</v>
      </c>
      <c r="I253" s="185">
        <f t="shared" si="57"/>
        <v>0</v>
      </c>
      <c r="J253" s="184">
        <f t="shared" si="58"/>
        <v>0</v>
      </c>
      <c r="K253" s="152" t="s">
        <v>295</v>
      </c>
    </row>
    <row r="254" spans="1:11" s="189" customFormat="1" ht="15.75">
      <c r="A254" s="196" t="s">
        <v>153</v>
      </c>
      <c r="B254" s="284"/>
      <c r="C254" s="215">
        <v>12</v>
      </c>
      <c r="D254" s="197">
        <v>0.2</v>
      </c>
      <c r="E254" s="198">
        <v>135.35</v>
      </c>
      <c r="F254" s="183">
        <f ca="1" t="shared" si="53"/>
        <v>135.35</v>
      </c>
      <c r="G254" s="184">
        <f t="shared" si="59"/>
        <v>0</v>
      </c>
      <c r="H254" s="184">
        <f>4*B254</f>
        <v>0</v>
      </c>
      <c r="I254" s="185">
        <f t="shared" si="57"/>
        <v>0</v>
      </c>
      <c r="J254" s="184">
        <f t="shared" si="58"/>
        <v>0</v>
      </c>
      <c r="K254" s="152" t="s">
        <v>295</v>
      </c>
    </row>
    <row r="255" spans="1:11" s="189" customFormat="1" ht="15.75">
      <c r="A255" s="196" t="s">
        <v>154</v>
      </c>
      <c r="B255" s="284"/>
      <c r="C255" s="215">
        <v>12</v>
      </c>
      <c r="D255" s="197">
        <v>0.5</v>
      </c>
      <c r="E255" s="198">
        <v>382.66</v>
      </c>
      <c r="F255" s="183">
        <f ca="1" t="shared" si="53"/>
        <v>382.66</v>
      </c>
      <c r="G255" s="184">
        <f t="shared" si="59"/>
        <v>0</v>
      </c>
      <c r="H255" s="184">
        <f>10*B255</f>
        <v>0</v>
      </c>
      <c r="I255" s="185">
        <f t="shared" si="57"/>
        <v>0</v>
      </c>
      <c r="J255" s="184">
        <f t="shared" si="58"/>
        <v>0</v>
      </c>
      <c r="K255" s="152" t="s">
        <v>295</v>
      </c>
    </row>
    <row r="256" spans="1:11" s="189" customFormat="1" ht="15.75">
      <c r="A256" s="196" t="s">
        <v>155</v>
      </c>
      <c r="B256" s="284"/>
      <c r="C256" s="215">
        <v>12</v>
      </c>
      <c r="D256" s="197">
        <v>0.5</v>
      </c>
      <c r="E256" s="198">
        <v>149.46</v>
      </c>
      <c r="F256" s="183">
        <f ca="1" t="shared" si="53"/>
        <v>149.46</v>
      </c>
      <c r="G256" s="184">
        <f t="shared" si="59"/>
        <v>0</v>
      </c>
      <c r="H256" s="184">
        <f>10*B256</f>
        <v>0</v>
      </c>
      <c r="I256" s="185">
        <f t="shared" si="57"/>
        <v>0</v>
      </c>
      <c r="J256" s="184">
        <f t="shared" si="58"/>
        <v>0</v>
      </c>
      <c r="K256" s="152" t="s">
        <v>295</v>
      </c>
    </row>
    <row r="257" spans="1:11" s="189" customFormat="1" ht="15.75">
      <c r="A257" s="196" t="s">
        <v>155</v>
      </c>
      <c r="B257" s="284"/>
      <c r="C257" s="215">
        <v>12</v>
      </c>
      <c r="D257" s="197">
        <v>0.2</v>
      </c>
      <c r="E257" s="198">
        <v>91.16</v>
      </c>
      <c r="F257" s="183">
        <f ca="1" t="shared" si="53"/>
        <v>91.16</v>
      </c>
      <c r="G257" s="184">
        <f t="shared" si="59"/>
        <v>0</v>
      </c>
      <c r="H257" s="184">
        <f>4*B257</f>
        <v>0</v>
      </c>
      <c r="I257" s="185">
        <f t="shared" si="57"/>
        <v>0</v>
      </c>
      <c r="J257" s="184">
        <f t="shared" si="58"/>
        <v>0</v>
      </c>
      <c r="K257" s="152" t="s">
        <v>295</v>
      </c>
    </row>
    <row r="258" spans="1:11" s="168" customFormat="1" ht="19.5" customHeight="1">
      <c r="A258" s="169" t="s">
        <v>270</v>
      </c>
      <c r="B258" s="282"/>
      <c r="C258" s="223"/>
      <c r="D258" s="223"/>
      <c r="E258" s="224"/>
      <c r="F258" s="225">
        <f ca="1" t="shared" si="53"/>
        <v>0</v>
      </c>
      <c r="G258" s="226"/>
      <c r="H258" s="226"/>
      <c r="I258" s="226"/>
      <c r="J258" s="226"/>
      <c r="K258" s="152" t="s">
        <v>295</v>
      </c>
    </row>
    <row r="259" spans="1:11" s="189" customFormat="1" ht="15.75">
      <c r="A259" s="187" t="s">
        <v>88</v>
      </c>
      <c r="B259" s="280"/>
      <c r="C259" s="182">
        <v>24</v>
      </c>
      <c r="D259" s="182">
        <v>0.03</v>
      </c>
      <c r="E259" s="188">
        <v>259.7</v>
      </c>
      <c r="F259" s="183">
        <f ca="1">E259-(E259*INDIRECT(K259))</f>
        <v>259.7</v>
      </c>
      <c r="G259" s="184">
        <f>B259*C259</f>
        <v>0</v>
      </c>
      <c r="H259" s="184">
        <f aca="true" t="shared" si="60" ref="H259:H264">6*B259</f>
        <v>0</v>
      </c>
      <c r="I259" s="185">
        <f>G259*F259</f>
        <v>0</v>
      </c>
      <c r="J259" s="184">
        <f>(G259*D259)/10</f>
        <v>0</v>
      </c>
      <c r="K259" s="152" t="s">
        <v>295</v>
      </c>
    </row>
    <row r="260" spans="1:11" s="189" customFormat="1" ht="15.75">
      <c r="A260" s="187" t="s">
        <v>88</v>
      </c>
      <c r="B260" s="280"/>
      <c r="C260" s="182">
        <v>6</v>
      </c>
      <c r="D260" s="182">
        <v>0.5</v>
      </c>
      <c r="E260" s="188">
        <v>2120</v>
      </c>
      <c r="F260" s="183">
        <f ca="1" t="shared" si="53"/>
        <v>2120</v>
      </c>
      <c r="G260" s="184">
        <f aca="true" t="shared" si="61" ref="G260:G267">B260*C260</f>
        <v>0</v>
      </c>
      <c r="H260" s="184">
        <f t="shared" si="60"/>
        <v>0</v>
      </c>
      <c r="I260" s="185">
        <f aca="true" t="shared" si="62" ref="I260:I267">G260*F260</f>
        <v>0</v>
      </c>
      <c r="J260" s="184">
        <f aca="true" t="shared" si="63" ref="J260:J267">(G260*D260)/10</f>
        <v>0</v>
      </c>
      <c r="K260" s="152" t="s">
        <v>295</v>
      </c>
    </row>
    <row r="261" spans="1:11" s="189" customFormat="1" ht="15.75">
      <c r="A261" s="187" t="s">
        <v>88</v>
      </c>
      <c r="B261" s="280"/>
      <c r="C261" s="182">
        <v>6</v>
      </c>
      <c r="D261" s="182">
        <v>0.7</v>
      </c>
      <c r="E261" s="188">
        <v>2648.94</v>
      </c>
      <c r="F261" s="183">
        <f ca="1" t="shared" si="53"/>
        <v>2648.94</v>
      </c>
      <c r="G261" s="184">
        <f t="shared" si="61"/>
        <v>0</v>
      </c>
      <c r="H261" s="184">
        <f t="shared" si="60"/>
        <v>0</v>
      </c>
      <c r="I261" s="185">
        <f t="shared" si="62"/>
        <v>0</v>
      </c>
      <c r="J261" s="184">
        <f t="shared" si="63"/>
        <v>0</v>
      </c>
      <c r="K261" s="152" t="s">
        <v>295</v>
      </c>
    </row>
    <row r="262" spans="1:11" s="189" customFormat="1" ht="15.75">
      <c r="A262" s="187" t="s">
        <v>89</v>
      </c>
      <c r="B262" s="280"/>
      <c r="C262" s="182">
        <v>24</v>
      </c>
      <c r="D262" s="182">
        <v>0.03</v>
      </c>
      <c r="E262" s="188">
        <v>359.34</v>
      </c>
      <c r="F262" s="183">
        <f ca="1">E262-(E262*INDIRECT(K262))</f>
        <v>359.34</v>
      </c>
      <c r="G262" s="184">
        <f>B262*C262</f>
        <v>0</v>
      </c>
      <c r="H262" s="184">
        <f t="shared" si="60"/>
        <v>0</v>
      </c>
      <c r="I262" s="185">
        <f>G262*F262</f>
        <v>0</v>
      </c>
      <c r="J262" s="184">
        <f>(G262*D262)/10</f>
        <v>0</v>
      </c>
      <c r="K262" s="152" t="s">
        <v>295</v>
      </c>
    </row>
    <row r="263" spans="1:11" s="189" customFormat="1" ht="15.75">
      <c r="A263" s="187" t="s">
        <v>89</v>
      </c>
      <c r="B263" s="280"/>
      <c r="C263" s="182">
        <v>6</v>
      </c>
      <c r="D263" s="182">
        <v>0.5</v>
      </c>
      <c r="E263" s="188">
        <v>4599.34</v>
      </c>
      <c r="F263" s="183">
        <f ca="1" t="shared" si="53"/>
        <v>4599.34</v>
      </c>
      <c r="G263" s="184">
        <f t="shared" si="61"/>
        <v>0</v>
      </c>
      <c r="H263" s="184">
        <f t="shared" si="60"/>
        <v>0</v>
      </c>
      <c r="I263" s="185">
        <f t="shared" si="62"/>
        <v>0</v>
      </c>
      <c r="J263" s="184">
        <f t="shared" si="63"/>
        <v>0</v>
      </c>
      <c r="K263" s="152" t="s">
        <v>295</v>
      </c>
    </row>
    <row r="264" spans="1:11" s="189" customFormat="1" ht="15.75">
      <c r="A264" s="187" t="s">
        <v>89</v>
      </c>
      <c r="B264" s="280"/>
      <c r="C264" s="182">
        <v>6</v>
      </c>
      <c r="D264" s="182">
        <v>0.7</v>
      </c>
      <c r="E264" s="188">
        <v>6422.54</v>
      </c>
      <c r="F264" s="183">
        <f ca="1" t="shared" si="53"/>
        <v>6422.54</v>
      </c>
      <c r="G264" s="184">
        <f t="shared" si="61"/>
        <v>0</v>
      </c>
      <c r="H264" s="184">
        <f t="shared" si="60"/>
        <v>0</v>
      </c>
      <c r="I264" s="185">
        <f t="shared" si="62"/>
        <v>0</v>
      </c>
      <c r="J264" s="184">
        <f t="shared" si="63"/>
        <v>0</v>
      </c>
      <c r="K264" s="152" t="s">
        <v>295</v>
      </c>
    </row>
    <row r="265" spans="1:11" s="189" customFormat="1" ht="15.75">
      <c r="A265" s="187" t="s">
        <v>90</v>
      </c>
      <c r="B265" s="280"/>
      <c r="C265" s="182">
        <v>6</v>
      </c>
      <c r="D265" s="182">
        <v>0.7</v>
      </c>
      <c r="E265" s="188">
        <v>10589.4</v>
      </c>
      <c r="F265" s="183">
        <f ca="1" t="shared" si="53"/>
        <v>10589.4</v>
      </c>
      <c r="G265" s="184">
        <f t="shared" si="61"/>
        <v>0</v>
      </c>
      <c r="H265" s="184"/>
      <c r="I265" s="185">
        <f t="shared" si="62"/>
        <v>0</v>
      </c>
      <c r="J265" s="184">
        <f t="shared" si="63"/>
        <v>0</v>
      </c>
      <c r="K265" s="152" t="s">
        <v>295</v>
      </c>
    </row>
    <row r="266" spans="1:11" s="189" customFormat="1" ht="15.75">
      <c r="A266" s="187" t="s">
        <v>91</v>
      </c>
      <c r="B266" s="280"/>
      <c r="C266" s="182">
        <v>6</v>
      </c>
      <c r="D266" s="182">
        <v>0.7</v>
      </c>
      <c r="E266" s="188">
        <v>16949.4</v>
      </c>
      <c r="F266" s="183">
        <f ca="1" t="shared" si="53"/>
        <v>16949.4</v>
      </c>
      <c r="G266" s="184">
        <f t="shared" si="61"/>
        <v>0</v>
      </c>
      <c r="H266" s="184"/>
      <c r="I266" s="185">
        <f t="shared" si="62"/>
        <v>0</v>
      </c>
      <c r="J266" s="184">
        <f t="shared" si="63"/>
        <v>0</v>
      </c>
      <c r="K266" s="152" t="s">
        <v>295</v>
      </c>
    </row>
    <row r="267" spans="1:11" s="189" customFormat="1" ht="15.75">
      <c r="A267" s="187" t="s">
        <v>92</v>
      </c>
      <c r="B267" s="280"/>
      <c r="C267" s="182">
        <v>6</v>
      </c>
      <c r="D267" s="182">
        <v>0.7</v>
      </c>
      <c r="E267" s="188">
        <v>181249.4</v>
      </c>
      <c r="F267" s="183">
        <f ca="1" t="shared" si="53"/>
        <v>181249.4</v>
      </c>
      <c r="G267" s="184">
        <f t="shared" si="61"/>
        <v>0</v>
      </c>
      <c r="H267" s="184"/>
      <c r="I267" s="185">
        <f t="shared" si="62"/>
        <v>0</v>
      </c>
      <c r="J267" s="184">
        <f t="shared" si="63"/>
        <v>0</v>
      </c>
      <c r="K267" s="152" t="s">
        <v>295</v>
      </c>
    </row>
    <row r="268" spans="1:11" s="168" customFormat="1" ht="20.25">
      <c r="A268" s="164" t="s">
        <v>275</v>
      </c>
      <c r="B268" s="283"/>
      <c r="C268" s="165"/>
      <c r="D268" s="165"/>
      <c r="E268" s="165"/>
      <c r="F268" s="166">
        <f ca="1" t="shared" si="53"/>
        <v>0</v>
      </c>
      <c r="G268" s="165"/>
      <c r="H268" s="165"/>
      <c r="I268" s="165"/>
      <c r="J268" s="167"/>
      <c r="K268" s="152" t="s">
        <v>296</v>
      </c>
    </row>
    <row r="269" spans="1:11" s="168" customFormat="1" ht="20.25">
      <c r="A269" s="169" t="s">
        <v>276</v>
      </c>
      <c r="B269" s="282"/>
      <c r="C269" s="223"/>
      <c r="D269" s="223"/>
      <c r="E269" s="224"/>
      <c r="F269" s="225">
        <f ca="1" t="shared" si="53"/>
        <v>0</v>
      </c>
      <c r="G269" s="226"/>
      <c r="H269" s="226"/>
      <c r="I269" s="226"/>
      <c r="J269" s="226"/>
      <c r="K269" s="152" t="s">
        <v>296</v>
      </c>
    </row>
    <row r="270" spans="1:11" s="189" customFormat="1" ht="15.75">
      <c r="A270" s="174" t="s">
        <v>277</v>
      </c>
      <c r="B270" s="274"/>
      <c r="C270" s="187"/>
      <c r="D270" s="187"/>
      <c r="E270" s="187"/>
      <c r="F270" s="186">
        <f ca="1" t="shared" si="53"/>
        <v>0</v>
      </c>
      <c r="G270" s="187"/>
      <c r="H270" s="187"/>
      <c r="I270" s="187"/>
      <c r="J270" s="187"/>
      <c r="K270" s="152" t="s">
        <v>296</v>
      </c>
    </row>
    <row r="271" spans="1:11" s="189" customFormat="1" ht="15.75">
      <c r="A271" s="196" t="s">
        <v>48</v>
      </c>
      <c r="B271" s="276"/>
      <c r="C271" s="197">
        <v>12</v>
      </c>
      <c r="D271" s="197">
        <v>1</v>
      </c>
      <c r="E271" s="198">
        <v>169.6</v>
      </c>
      <c r="F271" s="183">
        <f ca="1" t="shared" si="53"/>
        <v>169.6</v>
      </c>
      <c r="G271" s="184">
        <f aca="true" t="shared" si="64" ref="G271:G281">B271*C271</f>
        <v>0</v>
      </c>
      <c r="H271" s="184">
        <f>19.6*B271</f>
        <v>0</v>
      </c>
      <c r="I271" s="185">
        <f aca="true" t="shared" si="65" ref="I271:I321">G271*F271</f>
        <v>0</v>
      </c>
      <c r="J271" s="184">
        <f aca="true" t="shared" si="66" ref="J271:J321">(G271*D271)/10</f>
        <v>0</v>
      </c>
      <c r="K271" s="152" t="s">
        <v>296</v>
      </c>
    </row>
    <row r="272" spans="1:11" s="189" customFormat="1" ht="15.75">
      <c r="A272" s="196" t="s">
        <v>48</v>
      </c>
      <c r="B272" s="276"/>
      <c r="C272" s="197">
        <v>12</v>
      </c>
      <c r="D272" s="197">
        <v>0.75</v>
      </c>
      <c r="E272" s="198">
        <v>125.61</v>
      </c>
      <c r="F272" s="183">
        <f ca="1" t="shared" si="53"/>
        <v>125.61</v>
      </c>
      <c r="G272" s="184">
        <f t="shared" si="64"/>
        <v>0</v>
      </c>
      <c r="H272" s="184">
        <f>15.4*J272</f>
        <v>0</v>
      </c>
      <c r="I272" s="185">
        <f t="shared" si="65"/>
        <v>0</v>
      </c>
      <c r="J272" s="184">
        <f t="shared" si="66"/>
        <v>0</v>
      </c>
      <c r="K272" s="152" t="s">
        <v>296</v>
      </c>
    </row>
    <row r="273" spans="1:11" s="189" customFormat="1" ht="15.75">
      <c r="A273" s="196" t="s">
        <v>49</v>
      </c>
      <c r="B273" s="276"/>
      <c r="C273" s="197">
        <v>12</v>
      </c>
      <c r="D273" s="197">
        <v>0.5</v>
      </c>
      <c r="E273" s="198">
        <v>94.34</v>
      </c>
      <c r="F273" s="183">
        <f ca="1" t="shared" si="53"/>
        <v>94.34</v>
      </c>
      <c r="G273" s="184">
        <f t="shared" si="64"/>
        <v>0</v>
      </c>
      <c r="H273" s="184">
        <f>10.8*B273</f>
        <v>0</v>
      </c>
      <c r="I273" s="185">
        <f t="shared" si="65"/>
        <v>0</v>
      </c>
      <c r="J273" s="184">
        <f t="shared" si="66"/>
        <v>0</v>
      </c>
      <c r="K273" s="152" t="s">
        <v>296</v>
      </c>
    </row>
    <row r="274" spans="1:11" s="189" customFormat="1" ht="15.75">
      <c r="A274" s="196" t="s">
        <v>50</v>
      </c>
      <c r="B274" s="276"/>
      <c r="C274" s="197">
        <v>25</v>
      </c>
      <c r="D274" s="197">
        <v>0.25</v>
      </c>
      <c r="E274" s="198">
        <v>48.76</v>
      </c>
      <c r="F274" s="183">
        <f ca="1" t="shared" si="53"/>
        <v>48.76</v>
      </c>
      <c r="G274" s="184">
        <f t="shared" si="64"/>
        <v>0</v>
      </c>
      <c r="H274" s="184">
        <f>13.7*B274</f>
        <v>0</v>
      </c>
      <c r="I274" s="185">
        <f t="shared" si="65"/>
        <v>0</v>
      </c>
      <c r="J274" s="184">
        <f t="shared" si="66"/>
        <v>0</v>
      </c>
      <c r="K274" s="152" t="s">
        <v>296</v>
      </c>
    </row>
    <row r="275" spans="1:11" s="189" customFormat="1" ht="15.75">
      <c r="A275" s="196" t="s">
        <v>51</v>
      </c>
      <c r="B275" s="276"/>
      <c r="C275" s="197">
        <v>50</v>
      </c>
      <c r="D275" s="197">
        <v>0.1</v>
      </c>
      <c r="E275" s="198">
        <v>26.5</v>
      </c>
      <c r="F275" s="183">
        <f ca="1" t="shared" si="53"/>
        <v>26.5</v>
      </c>
      <c r="G275" s="184">
        <f t="shared" si="64"/>
        <v>0</v>
      </c>
      <c r="H275" s="184">
        <f>12.2*B275</f>
        <v>0</v>
      </c>
      <c r="I275" s="185">
        <f t="shared" si="65"/>
        <v>0</v>
      </c>
      <c r="J275" s="184">
        <f t="shared" si="66"/>
        <v>0</v>
      </c>
      <c r="K275" s="152" t="s">
        <v>296</v>
      </c>
    </row>
    <row r="276" spans="1:11" s="189" customFormat="1" ht="15.75">
      <c r="A276" s="196" t="s">
        <v>52</v>
      </c>
      <c r="B276" s="276"/>
      <c r="C276" s="197">
        <v>12</v>
      </c>
      <c r="D276" s="197">
        <v>0.5</v>
      </c>
      <c r="E276" s="198">
        <v>87.98</v>
      </c>
      <c r="F276" s="183">
        <f ca="1" t="shared" si="53"/>
        <v>87.98</v>
      </c>
      <c r="G276" s="184">
        <f t="shared" si="64"/>
        <v>0</v>
      </c>
      <c r="H276" s="184">
        <f>10.8*B276</f>
        <v>0</v>
      </c>
      <c r="I276" s="185">
        <f t="shared" si="65"/>
        <v>0</v>
      </c>
      <c r="J276" s="184">
        <f t="shared" si="66"/>
        <v>0</v>
      </c>
      <c r="K276" s="152" t="s">
        <v>296</v>
      </c>
    </row>
    <row r="277" spans="1:11" s="189" customFormat="1" ht="15.75">
      <c r="A277" s="196" t="s">
        <v>53</v>
      </c>
      <c r="B277" s="276"/>
      <c r="C277" s="197">
        <v>12</v>
      </c>
      <c r="D277" s="197">
        <v>1</v>
      </c>
      <c r="E277" s="198">
        <v>235.32</v>
      </c>
      <c r="F277" s="183">
        <f ca="1" t="shared" si="53"/>
        <v>235.32</v>
      </c>
      <c r="G277" s="184">
        <f t="shared" si="64"/>
        <v>0</v>
      </c>
      <c r="H277" s="184">
        <f>19.6*B277</f>
        <v>0</v>
      </c>
      <c r="I277" s="185">
        <f t="shared" si="65"/>
        <v>0</v>
      </c>
      <c r="J277" s="184">
        <f t="shared" si="66"/>
        <v>0</v>
      </c>
      <c r="K277" s="152" t="s">
        <v>296</v>
      </c>
    </row>
    <row r="278" spans="1:11" s="189" customFormat="1" ht="15.75">
      <c r="A278" s="196" t="s">
        <v>53</v>
      </c>
      <c r="B278" s="276"/>
      <c r="C278" s="197">
        <v>12</v>
      </c>
      <c r="D278" s="197">
        <v>0.75</v>
      </c>
      <c r="E278" s="198">
        <v>180.2</v>
      </c>
      <c r="F278" s="183">
        <f ca="1" t="shared" si="53"/>
        <v>180.2</v>
      </c>
      <c r="G278" s="184">
        <f t="shared" si="64"/>
        <v>0</v>
      </c>
      <c r="H278" s="184">
        <f>15.4*B278</f>
        <v>0</v>
      </c>
      <c r="I278" s="185">
        <f t="shared" si="65"/>
        <v>0</v>
      </c>
      <c r="J278" s="184">
        <f t="shared" si="66"/>
        <v>0</v>
      </c>
      <c r="K278" s="152" t="s">
        <v>296</v>
      </c>
    </row>
    <row r="279" spans="1:11" s="189" customFormat="1" ht="15.75">
      <c r="A279" s="196" t="s">
        <v>83</v>
      </c>
      <c r="B279" s="276"/>
      <c r="C279" s="197">
        <v>12</v>
      </c>
      <c r="D279" s="197">
        <v>0.75</v>
      </c>
      <c r="E279" s="198">
        <v>243.8</v>
      </c>
      <c r="F279" s="183">
        <f ca="1" t="shared" si="53"/>
        <v>243.8</v>
      </c>
      <c r="G279" s="184">
        <f t="shared" si="64"/>
        <v>0</v>
      </c>
      <c r="H279" s="184">
        <f>15.4*B279</f>
        <v>0</v>
      </c>
      <c r="I279" s="185">
        <f t="shared" si="65"/>
        <v>0</v>
      </c>
      <c r="J279" s="184">
        <f t="shared" si="66"/>
        <v>0</v>
      </c>
      <c r="K279" s="152" t="s">
        <v>296</v>
      </c>
    </row>
    <row r="280" spans="1:11" s="189" customFormat="1" ht="15.75">
      <c r="A280" s="218" t="s">
        <v>53</v>
      </c>
      <c r="B280" s="276"/>
      <c r="C280" s="199">
        <v>12</v>
      </c>
      <c r="D280" s="199">
        <v>0.5</v>
      </c>
      <c r="E280" s="227">
        <v>127.2</v>
      </c>
      <c r="F280" s="183">
        <f ca="1" t="shared" si="53"/>
        <v>127.2</v>
      </c>
      <c r="G280" s="184">
        <f t="shared" si="64"/>
        <v>0</v>
      </c>
      <c r="H280" s="184">
        <f>10.8*J280</f>
        <v>0</v>
      </c>
      <c r="I280" s="185">
        <f t="shared" si="65"/>
        <v>0</v>
      </c>
      <c r="J280" s="184">
        <f t="shared" si="66"/>
        <v>0</v>
      </c>
      <c r="K280" s="152" t="s">
        <v>296</v>
      </c>
    </row>
    <row r="281" spans="1:11" s="189" customFormat="1" ht="15.75">
      <c r="A281" s="196" t="s">
        <v>54</v>
      </c>
      <c r="B281" s="276"/>
      <c r="C281" s="197">
        <v>30</v>
      </c>
      <c r="D281" s="197">
        <v>0.25</v>
      </c>
      <c r="E281" s="198">
        <v>71.02</v>
      </c>
      <c r="F281" s="183">
        <f ca="1" t="shared" si="53"/>
        <v>71.02</v>
      </c>
      <c r="G281" s="184">
        <f t="shared" si="64"/>
        <v>0</v>
      </c>
      <c r="H281" s="184">
        <f>13.7*J281</f>
        <v>0</v>
      </c>
      <c r="I281" s="185">
        <f t="shared" si="65"/>
        <v>0</v>
      </c>
      <c r="J281" s="184">
        <f t="shared" si="66"/>
        <v>0</v>
      </c>
      <c r="K281" s="152" t="s">
        <v>296</v>
      </c>
    </row>
    <row r="282" spans="1:11" s="168" customFormat="1" ht="21" customHeight="1">
      <c r="A282" s="169" t="s">
        <v>278</v>
      </c>
      <c r="B282" s="282"/>
      <c r="C282" s="223"/>
      <c r="D282" s="223"/>
      <c r="E282" s="224"/>
      <c r="F282" s="225">
        <f ca="1" t="shared" si="53"/>
        <v>0</v>
      </c>
      <c r="G282" s="226"/>
      <c r="H282" s="226"/>
      <c r="I282" s="226"/>
      <c r="J282" s="226"/>
      <c r="K282" s="152" t="s">
        <v>296</v>
      </c>
    </row>
    <row r="283" spans="1:11" s="189" customFormat="1" ht="15.75">
      <c r="A283" s="174" t="s">
        <v>279</v>
      </c>
      <c r="B283" s="274"/>
      <c r="C283" s="187"/>
      <c r="D283" s="187"/>
      <c r="E283" s="187"/>
      <c r="F283" s="186">
        <f ca="1" t="shared" si="53"/>
        <v>0</v>
      </c>
      <c r="G283" s="187"/>
      <c r="H283" s="187"/>
      <c r="I283" s="187"/>
      <c r="J283" s="187"/>
      <c r="K283" s="152" t="s">
        <v>296</v>
      </c>
    </row>
    <row r="284" spans="1:11" s="189" customFormat="1" ht="15.75">
      <c r="A284" s="196" t="s">
        <v>141</v>
      </c>
      <c r="B284" s="285"/>
      <c r="C284" s="215">
        <v>1</v>
      </c>
      <c r="D284" s="197">
        <v>3.75</v>
      </c>
      <c r="E284" s="198">
        <v>976.26</v>
      </c>
      <c r="F284" s="183">
        <f ca="1" t="shared" si="53"/>
        <v>976.26</v>
      </c>
      <c r="G284" s="184">
        <f aca="true" t="shared" si="67" ref="G284:G293">B284*C284</f>
        <v>0</v>
      </c>
      <c r="H284" s="184">
        <f>5.57*B284</f>
        <v>0</v>
      </c>
      <c r="I284" s="185">
        <f aca="true" t="shared" si="68" ref="I284:I293">G284*F284</f>
        <v>0</v>
      </c>
      <c r="J284" s="184">
        <f aca="true" t="shared" si="69" ref="J284:J293">(G284*D284)/10</f>
        <v>0</v>
      </c>
      <c r="K284" s="152" t="s">
        <v>296</v>
      </c>
    </row>
    <row r="285" spans="1:11" s="189" customFormat="1" ht="15.75">
      <c r="A285" s="196" t="s">
        <v>141</v>
      </c>
      <c r="B285" s="286"/>
      <c r="C285" s="215">
        <v>12</v>
      </c>
      <c r="D285" s="197">
        <v>1</v>
      </c>
      <c r="E285" s="198">
        <v>214.12</v>
      </c>
      <c r="F285" s="183">
        <f ca="1" t="shared" si="53"/>
        <v>214.12</v>
      </c>
      <c r="G285" s="184">
        <f t="shared" si="67"/>
        <v>0</v>
      </c>
      <c r="H285" s="184">
        <f>19.08*B285</f>
        <v>0</v>
      </c>
      <c r="I285" s="185">
        <f t="shared" si="68"/>
        <v>0</v>
      </c>
      <c r="J285" s="184">
        <f t="shared" si="69"/>
        <v>0</v>
      </c>
      <c r="K285" s="152" t="s">
        <v>296</v>
      </c>
    </row>
    <row r="286" spans="1:11" s="189" customFormat="1" ht="15.75">
      <c r="A286" s="196" t="s">
        <v>141</v>
      </c>
      <c r="B286" s="286"/>
      <c r="C286" s="215">
        <v>12</v>
      </c>
      <c r="D286" s="197">
        <v>0.75</v>
      </c>
      <c r="E286" s="198">
        <v>165.36</v>
      </c>
      <c r="F286" s="183">
        <f ca="1" t="shared" si="53"/>
        <v>165.36</v>
      </c>
      <c r="G286" s="184">
        <f t="shared" si="67"/>
        <v>0</v>
      </c>
      <c r="H286" s="184">
        <f>14.74*B286</f>
        <v>0</v>
      </c>
      <c r="I286" s="185">
        <f t="shared" si="68"/>
        <v>0</v>
      </c>
      <c r="J286" s="184">
        <f t="shared" si="69"/>
        <v>0</v>
      </c>
      <c r="K286" s="152" t="s">
        <v>296</v>
      </c>
    </row>
    <row r="287" spans="1:11" s="189" customFormat="1" ht="15.75">
      <c r="A287" s="196" t="s">
        <v>142</v>
      </c>
      <c r="B287" s="285"/>
      <c r="C287" s="215">
        <v>12</v>
      </c>
      <c r="D287" s="197">
        <v>0.75</v>
      </c>
      <c r="E287" s="198">
        <v>214.12</v>
      </c>
      <c r="F287" s="183">
        <f ca="1" t="shared" si="53"/>
        <v>214.12</v>
      </c>
      <c r="G287" s="184">
        <f t="shared" si="67"/>
        <v>0</v>
      </c>
      <c r="H287" s="184">
        <f>14.74*B287</f>
        <v>0</v>
      </c>
      <c r="I287" s="185">
        <f t="shared" si="68"/>
        <v>0</v>
      </c>
      <c r="J287" s="184">
        <f t="shared" si="69"/>
        <v>0</v>
      </c>
      <c r="K287" s="152" t="s">
        <v>296</v>
      </c>
    </row>
    <row r="288" spans="1:11" s="189" customFormat="1" ht="15.75">
      <c r="A288" s="196" t="s">
        <v>141</v>
      </c>
      <c r="B288" s="285"/>
      <c r="C288" s="215">
        <v>20</v>
      </c>
      <c r="D288" s="197">
        <v>0.5</v>
      </c>
      <c r="E288" s="198">
        <v>110.24</v>
      </c>
      <c r="F288" s="183">
        <f ca="1" t="shared" si="53"/>
        <v>110.24</v>
      </c>
      <c r="G288" s="184">
        <f t="shared" si="67"/>
        <v>0</v>
      </c>
      <c r="H288" s="184">
        <f>17.17*B288</f>
        <v>0</v>
      </c>
      <c r="I288" s="185">
        <f t="shared" si="68"/>
        <v>0</v>
      </c>
      <c r="J288" s="184">
        <f t="shared" si="69"/>
        <v>0</v>
      </c>
      <c r="K288" s="152" t="s">
        <v>296</v>
      </c>
    </row>
    <row r="289" spans="1:11" s="189" customFormat="1" ht="15.75">
      <c r="A289" s="196" t="s">
        <v>142</v>
      </c>
      <c r="B289" s="285"/>
      <c r="C289" s="215">
        <v>4</v>
      </c>
      <c r="D289" s="197">
        <v>0.5</v>
      </c>
      <c r="E289" s="198">
        <v>410.22</v>
      </c>
      <c r="F289" s="183">
        <f ca="1" t="shared" si="53"/>
        <v>410.22</v>
      </c>
      <c r="G289" s="184">
        <f t="shared" si="67"/>
        <v>0</v>
      </c>
      <c r="H289" s="184">
        <f>3.44*B289</f>
        <v>0</v>
      </c>
      <c r="I289" s="185">
        <f t="shared" si="68"/>
        <v>0</v>
      </c>
      <c r="J289" s="184">
        <f t="shared" si="69"/>
        <v>0</v>
      </c>
      <c r="K289" s="152" t="s">
        <v>296</v>
      </c>
    </row>
    <row r="290" spans="1:11" s="189" customFormat="1" ht="15.75">
      <c r="A290" s="196" t="s">
        <v>143</v>
      </c>
      <c r="B290" s="285"/>
      <c r="C290" s="215">
        <v>18</v>
      </c>
      <c r="D290" s="197">
        <v>0.5</v>
      </c>
      <c r="E290" s="198">
        <v>110.24</v>
      </c>
      <c r="F290" s="183">
        <f aca="true" ca="1" t="shared" si="70" ref="F290:F336">E290-(E290*INDIRECT(K290))</f>
        <v>110.24</v>
      </c>
      <c r="G290" s="184">
        <f t="shared" si="67"/>
        <v>0</v>
      </c>
      <c r="H290" s="184">
        <f>17.95*B290</f>
        <v>0</v>
      </c>
      <c r="I290" s="185">
        <f t="shared" si="68"/>
        <v>0</v>
      </c>
      <c r="J290" s="184">
        <f t="shared" si="69"/>
        <v>0</v>
      </c>
      <c r="K290" s="152" t="s">
        <v>296</v>
      </c>
    </row>
    <row r="291" spans="1:11" s="189" customFormat="1" ht="15.75">
      <c r="A291" s="196" t="s">
        <v>141</v>
      </c>
      <c r="B291" s="285"/>
      <c r="C291" s="215">
        <v>24</v>
      </c>
      <c r="D291" s="197">
        <v>0.375</v>
      </c>
      <c r="E291" s="198">
        <v>84.27</v>
      </c>
      <c r="F291" s="183">
        <f ca="1" t="shared" si="70"/>
        <v>84.27</v>
      </c>
      <c r="G291" s="184">
        <f t="shared" si="67"/>
        <v>0</v>
      </c>
      <c r="H291" s="184">
        <f>15.98*B291</f>
        <v>0</v>
      </c>
      <c r="I291" s="185">
        <f t="shared" si="68"/>
        <v>0</v>
      </c>
      <c r="J291" s="184">
        <f t="shared" si="69"/>
        <v>0</v>
      </c>
      <c r="K291" s="152" t="s">
        <v>296</v>
      </c>
    </row>
    <row r="292" spans="1:11" s="189" customFormat="1" ht="15.75">
      <c r="A292" s="196" t="s">
        <v>143</v>
      </c>
      <c r="B292" s="285"/>
      <c r="C292" s="215">
        <v>24</v>
      </c>
      <c r="D292" s="197">
        <v>0.25</v>
      </c>
      <c r="E292" s="198">
        <v>64.13</v>
      </c>
      <c r="F292" s="183">
        <f ca="1" t="shared" si="70"/>
        <v>64.13</v>
      </c>
      <c r="G292" s="184">
        <f t="shared" si="67"/>
        <v>0</v>
      </c>
      <c r="H292" s="184">
        <f>12.59*B292</f>
        <v>0</v>
      </c>
      <c r="I292" s="185">
        <f t="shared" si="68"/>
        <v>0</v>
      </c>
      <c r="J292" s="184">
        <f t="shared" si="69"/>
        <v>0</v>
      </c>
      <c r="K292" s="152" t="s">
        <v>296</v>
      </c>
    </row>
    <row r="293" spans="1:11" s="189" customFormat="1" ht="15.75">
      <c r="A293" s="196" t="s">
        <v>141</v>
      </c>
      <c r="B293" s="285"/>
      <c r="C293" s="215">
        <v>120</v>
      </c>
      <c r="D293" s="197">
        <v>0.05</v>
      </c>
      <c r="E293" s="198">
        <v>19.61</v>
      </c>
      <c r="F293" s="183">
        <f ca="1" t="shared" si="70"/>
        <v>19.61</v>
      </c>
      <c r="G293" s="184">
        <f t="shared" si="67"/>
        <v>0</v>
      </c>
      <c r="H293" s="184"/>
      <c r="I293" s="185">
        <f t="shared" si="68"/>
        <v>0</v>
      </c>
      <c r="J293" s="184">
        <f t="shared" si="69"/>
        <v>0</v>
      </c>
      <c r="K293" s="152" t="s">
        <v>296</v>
      </c>
    </row>
    <row r="294" spans="1:11" s="189" customFormat="1" ht="15.75">
      <c r="A294" s="196" t="s">
        <v>131</v>
      </c>
      <c r="B294" s="287"/>
      <c r="C294" s="196"/>
      <c r="D294" s="196"/>
      <c r="E294" s="196"/>
      <c r="F294" s="228">
        <f ca="1" t="shared" si="70"/>
        <v>0</v>
      </c>
      <c r="G294" s="196"/>
      <c r="H294" s="196"/>
      <c r="I294" s="196"/>
      <c r="J294" s="196"/>
      <c r="K294" s="152" t="s">
        <v>296</v>
      </c>
    </row>
    <row r="295" spans="1:11" s="168" customFormat="1" ht="20.25">
      <c r="A295" s="164" t="s">
        <v>280</v>
      </c>
      <c r="B295" s="283"/>
      <c r="C295" s="165"/>
      <c r="D295" s="165"/>
      <c r="E295" s="165"/>
      <c r="F295" s="166">
        <f ca="1" t="shared" si="70"/>
        <v>0</v>
      </c>
      <c r="G295" s="165"/>
      <c r="H295" s="165"/>
      <c r="I295" s="165"/>
      <c r="J295" s="167"/>
      <c r="K295" s="152" t="s">
        <v>297</v>
      </c>
    </row>
    <row r="296" spans="1:11" s="168" customFormat="1" ht="21" customHeight="1">
      <c r="A296" s="169" t="s">
        <v>281</v>
      </c>
      <c r="B296" s="282"/>
      <c r="C296" s="223"/>
      <c r="D296" s="223"/>
      <c r="E296" s="224"/>
      <c r="F296" s="225">
        <f ca="1" t="shared" si="70"/>
        <v>0</v>
      </c>
      <c r="G296" s="226"/>
      <c r="H296" s="226"/>
      <c r="I296" s="226"/>
      <c r="J296" s="226"/>
      <c r="K296" s="152" t="s">
        <v>297</v>
      </c>
    </row>
    <row r="297" spans="1:11" s="189" customFormat="1" ht="15">
      <c r="A297" s="229" t="s">
        <v>55</v>
      </c>
      <c r="B297" s="280"/>
      <c r="C297" s="184"/>
      <c r="D297" s="205"/>
      <c r="E297" s="206"/>
      <c r="F297" s="183">
        <f ca="1" t="shared" si="70"/>
        <v>0</v>
      </c>
      <c r="G297" s="184"/>
      <c r="H297" s="184"/>
      <c r="I297" s="185"/>
      <c r="J297" s="184"/>
      <c r="K297" s="152" t="s">
        <v>297</v>
      </c>
    </row>
    <row r="298" spans="1:11" s="189" customFormat="1" ht="15.75">
      <c r="A298" s="196" t="s">
        <v>56</v>
      </c>
      <c r="B298" s="276"/>
      <c r="C298" s="182">
        <v>12</v>
      </c>
      <c r="D298" s="197">
        <v>0.75</v>
      </c>
      <c r="E298" s="198">
        <v>90.85</v>
      </c>
      <c r="F298" s="183">
        <f ca="1" t="shared" si="70"/>
        <v>90.85</v>
      </c>
      <c r="G298" s="184">
        <f aca="true" t="shared" si="71" ref="G298:G321">B298*C298</f>
        <v>0</v>
      </c>
      <c r="H298" s="184">
        <f aca="true" t="shared" si="72" ref="H298:H303">19.5*B298</f>
        <v>0</v>
      </c>
      <c r="I298" s="185">
        <f>G298*F298</f>
        <v>0</v>
      </c>
      <c r="J298" s="184">
        <f>(G298*D298)/10</f>
        <v>0</v>
      </c>
      <c r="K298" s="152" t="s">
        <v>297</v>
      </c>
    </row>
    <row r="299" spans="1:11" s="189" customFormat="1" ht="15.75">
      <c r="A299" s="196" t="s">
        <v>95</v>
      </c>
      <c r="B299" s="276"/>
      <c r="C299" s="182">
        <v>12</v>
      </c>
      <c r="D299" s="197">
        <v>0.75</v>
      </c>
      <c r="E299" s="198">
        <v>90.85</v>
      </c>
      <c r="F299" s="183">
        <f ca="1" t="shared" si="70"/>
        <v>90.85</v>
      </c>
      <c r="G299" s="184">
        <f t="shared" si="71"/>
        <v>0</v>
      </c>
      <c r="H299" s="184">
        <f t="shared" si="72"/>
        <v>0</v>
      </c>
      <c r="I299" s="185">
        <f>G299*F299</f>
        <v>0</v>
      </c>
      <c r="J299" s="184">
        <f>(G299*D299)/10</f>
        <v>0</v>
      </c>
      <c r="K299" s="152" t="s">
        <v>297</v>
      </c>
    </row>
    <row r="300" spans="1:11" s="189" customFormat="1" ht="15.75">
      <c r="A300" s="196" t="s">
        <v>96</v>
      </c>
      <c r="B300" s="276"/>
      <c r="C300" s="182">
        <v>12</v>
      </c>
      <c r="D300" s="197">
        <v>0.75</v>
      </c>
      <c r="E300" s="198">
        <v>90.85</v>
      </c>
      <c r="F300" s="183">
        <f ca="1" t="shared" si="70"/>
        <v>90.85</v>
      </c>
      <c r="G300" s="184">
        <f t="shared" si="71"/>
        <v>0</v>
      </c>
      <c r="H300" s="184">
        <f t="shared" si="72"/>
        <v>0</v>
      </c>
      <c r="I300" s="185">
        <f t="shared" si="65"/>
        <v>0</v>
      </c>
      <c r="J300" s="184">
        <f t="shared" si="66"/>
        <v>0</v>
      </c>
      <c r="K300" s="152" t="s">
        <v>297</v>
      </c>
    </row>
    <row r="301" spans="1:11" s="189" customFormat="1" ht="15.75">
      <c r="A301" s="196" t="s">
        <v>122</v>
      </c>
      <c r="B301" s="276"/>
      <c r="C301" s="182">
        <v>12</v>
      </c>
      <c r="D301" s="197">
        <v>0.75</v>
      </c>
      <c r="E301" s="198">
        <v>81.62</v>
      </c>
      <c r="F301" s="183">
        <f ca="1" t="shared" si="70"/>
        <v>81.62</v>
      </c>
      <c r="G301" s="184">
        <f t="shared" si="71"/>
        <v>0</v>
      </c>
      <c r="H301" s="184">
        <f t="shared" si="72"/>
        <v>0</v>
      </c>
      <c r="I301" s="185">
        <f t="shared" si="65"/>
        <v>0</v>
      </c>
      <c r="J301" s="184">
        <f t="shared" si="66"/>
        <v>0</v>
      </c>
      <c r="K301" s="152" t="s">
        <v>297</v>
      </c>
    </row>
    <row r="302" spans="1:11" s="189" customFormat="1" ht="15.75">
      <c r="A302" s="196" t="s">
        <v>123</v>
      </c>
      <c r="B302" s="276"/>
      <c r="C302" s="182">
        <v>12</v>
      </c>
      <c r="D302" s="197">
        <v>0.75</v>
      </c>
      <c r="E302" s="198">
        <v>81.62</v>
      </c>
      <c r="F302" s="183">
        <f ca="1" t="shared" si="70"/>
        <v>81.62</v>
      </c>
      <c r="G302" s="184">
        <f t="shared" si="71"/>
        <v>0</v>
      </c>
      <c r="H302" s="184">
        <f t="shared" si="72"/>
        <v>0</v>
      </c>
      <c r="I302" s="185">
        <f t="shared" si="65"/>
        <v>0</v>
      </c>
      <c r="J302" s="184">
        <f t="shared" si="66"/>
        <v>0</v>
      </c>
      <c r="K302" s="152" t="s">
        <v>297</v>
      </c>
    </row>
    <row r="303" spans="1:11" s="189" customFormat="1" ht="15.75">
      <c r="A303" s="196" t="s">
        <v>98</v>
      </c>
      <c r="B303" s="276"/>
      <c r="C303" s="182">
        <v>12</v>
      </c>
      <c r="D303" s="197">
        <v>0.75</v>
      </c>
      <c r="E303" s="198">
        <v>81.62</v>
      </c>
      <c r="F303" s="183">
        <f ca="1" t="shared" si="70"/>
        <v>81.62</v>
      </c>
      <c r="G303" s="184">
        <f t="shared" si="71"/>
        <v>0</v>
      </c>
      <c r="H303" s="184">
        <f t="shared" si="72"/>
        <v>0</v>
      </c>
      <c r="I303" s="185">
        <f t="shared" si="65"/>
        <v>0</v>
      </c>
      <c r="J303" s="184">
        <f t="shared" si="66"/>
        <v>0</v>
      </c>
      <c r="K303" s="152" t="s">
        <v>297</v>
      </c>
    </row>
    <row r="304" spans="1:11" s="189" customFormat="1" ht="30">
      <c r="A304" s="229" t="s">
        <v>60</v>
      </c>
      <c r="B304" s="280"/>
      <c r="C304" s="230"/>
      <c r="D304" s="230"/>
      <c r="E304" s="231"/>
      <c r="F304" s="183">
        <f ca="1" t="shared" si="70"/>
        <v>0</v>
      </c>
      <c r="G304" s="184"/>
      <c r="H304" s="184"/>
      <c r="I304" s="185"/>
      <c r="J304" s="184"/>
      <c r="K304" s="152" t="s">
        <v>297</v>
      </c>
    </row>
    <row r="305" spans="1:11" s="189" customFormat="1" ht="15.75">
      <c r="A305" s="196" t="s">
        <v>57</v>
      </c>
      <c r="B305" s="276"/>
      <c r="C305" s="197">
        <v>12</v>
      </c>
      <c r="D305" s="197">
        <v>0.75</v>
      </c>
      <c r="E305" s="198">
        <v>98.28</v>
      </c>
      <c r="F305" s="183">
        <f ca="1" t="shared" si="70"/>
        <v>98.28</v>
      </c>
      <c r="G305" s="184">
        <f t="shared" si="71"/>
        <v>0</v>
      </c>
      <c r="H305" s="184">
        <f aca="true" t="shared" si="73" ref="H305:H310">19.5*B305</f>
        <v>0</v>
      </c>
      <c r="I305" s="185">
        <f t="shared" si="65"/>
        <v>0</v>
      </c>
      <c r="J305" s="184">
        <f t="shared" si="66"/>
        <v>0</v>
      </c>
      <c r="K305" s="152" t="s">
        <v>297</v>
      </c>
    </row>
    <row r="306" spans="1:11" s="189" customFormat="1" ht="15.75">
      <c r="A306" s="196" t="s">
        <v>58</v>
      </c>
      <c r="B306" s="276"/>
      <c r="C306" s="197">
        <v>12</v>
      </c>
      <c r="D306" s="197">
        <v>0.75</v>
      </c>
      <c r="E306" s="198">
        <v>98.28</v>
      </c>
      <c r="F306" s="183">
        <f ca="1" t="shared" si="70"/>
        <v>98.28</v>
      </c>
      <c r="G306" s="184">
        <f t="shared" si="71"/>
        <v>0</v>
      </c>
      <c r="H306" s="184">
        <f t="shared" si="73"/>
        <v>0</v>
      </c>
      <c r="I306" s="185">
        <f t="shared" si="65"/>
        <v>0</v>
      </c>
      <c r="J306" s="184">
        <f t="shared" si="66"/>
        <v>0</v>
      </c>
      <c r="K306" s="152" t="s">
        <v>297</v>
      </c>
    </row>
    <row r="307" spans="1:11" s="189" customFormat="1" ht="15.75">
      <c r="A307" s="196" t="s">
        <v>59</v>
      </c>
      <c r="B307" s="276"/>
      <c r="C307" s="197">
        <v>12</v>
      </c>
      <c r="D307" s="197">
        <v>0.75</v>
      </c>
      <c r="E307" s="198">
        <v>98.28</v>
      </c>
      <c r="F307" s="183">
        <f ca="1" t="shared" si="70"/>
        <v>98.28</v>
      </c>
      <c r="G307" s="184">
        <f t="shared" si="71"/>
        <v>0</v>
      </c>
      <c r="H307" s="184">
        <f t="shared" si="73"/>
        <v>0</v>
      </c>
      <c r="I307" s="185">
        <f t="shared" si="65"/>
        <v>0</v>
      </c>
      <c r="J307" s="184">
        <f t="shared" si="66"/>
        <v>0</v>
      </c>
      <c r="K307" s="152" t="s">
        <v>297</v>
      </c>
    </row>
    <row r="308" spans="1:11" s="189" customFormat="1" ht="15.75">
      <c r="A308" s="196" t="s">
        <v>124</v>
      </c>
      <c r="B308" s="276"/>
      <c r="C308" s="197">
        <v>12</v>
      </c>
      <c r="D308" s="197">
        <v>0.75</v>
      </c>
      <c r="E308" s="198">
        <v>98.28</v>
      </c>
      <c r="F308" s="183">
        <f ca="1" t="shared" si="70"/>
        <v>98.28</v>
      </c>
      <c r="G308" s="184">
        <f t="shared" si="71"/>
        <v>0</v>
      </c>
      <c r="H308" s="184">
        <f t="shared" si="73"/>
        <v>0</v>
      </c>
      <c r="I308" s="185">
        <f t="shared" si="65"/>
        <v>0</v>
      </c>
      <c r="J308" s="184">
        <f t="shared" si="66"/>
        <v>0</v>
      </c>
      <c r="K308" s="152" t="s">
        <v>297</v>
      </c>
    </row>
    <row r="309" spans="1:11" s="189" customFormat="1" ht="31.5">
      <c r="A309" s="196" t="s">
        <v>125</v>
      </c>
      <c r="B309" s="276"/>
      <c r="C309" s="199">
        <v>12</v>
      </c>
      <c r="D309" s="199">
        <v>0.75</v>
      </c>
      <c r="E309" s="227">
        <v>119.6</v>
      </c>
      <c r="F309" s="183">
        <f ca="1" t="shared" si="70"/>
        <v>119.6</v>
      </c>
      <c r="G309" s="184">
        <f t="shared" si="71"/>
        <v>0</v>
      </c>
      <c r="H309" s="184">
        <f t="shared" si="73"/>
        <v>0</v>
      </c>
      <c r="I309" s="185">
        <f t="shared" si="65"/>
        <v>0</v>
      </c>
      <c r="J309" s="184">
        <f t="shared" si="66"/>
        <v>0</v>
      </c>
      <c r="K309" s="152" t="s">
        <v>297</v>
      </c>
    </row>
    <row r="310" spans="1:11" s="189" customFormat="1" ht="31.5">
      <c r="A310" s="196" t="s">
        <v>126</v>
      </c>
      <c r="B310" s="276"/>
      <c r="C310" s="199">
        <v>12</v>
      </c>
      <c r="D310" s="199">
        <v>0.75</v>
      </c>
      <c r="E310" s="227">
        <v>119.6</v>
      </c>
      <c r="F310" s="183">
        <f ca="1" t="shared" si="70"/>
        <v>119.6</v>
      </c>
      <c r="G310" s="184">
        <f t="shared" si="71"/>
        <v>0</v>
      </c>
      <c r="H310" s="184">
        <f t="shared" si="73"/>
        <v>0</v>
      </c>
      <c r="I310" s="185">
        <f t="shared" si="65"/>
        <v>0</v>
      </c>
      <c r="J310" s="184">
        <f t="shared" si="66"/>
        <v>0</v>
      </c>
      <c r="K310" s="152" t="s">
        <v>297</v>
      </c>
    </row>
    <row r="311" spans="1:11" s="189" customFormat="1" ht="47.25">
      <c r="A311" s="196" t="s">
        <v>127</v>
      </c>
      <c r="B311" s="276"/>
      <c r="C311" s="232">
        <v>6</v>
      </c>
      <c r="D311" s="232">
        <v>1.5</v>
      </c>
      <c r="E311" s="200">
        <v>326.6</v>
      </c>
      <c r="F311" s="183">
        <f ca="1" t="shared" si="70"/>
        <v>326.6</v>
      </c>
      <c r="G311" s="184">
        <f t="shared" si="71"/>
        <v>0</v>
      </c>
      <c r="H311" s="184">
        <f>19.5*B311</f>
        <v>0</v>
      </c>
      <c r="I311" s="185">
        <f t="shared" si="65"/>
        <v>0</v>
      </c>
      <c r="J311" s="184">
        <f t="shared" si="66"/>
        <v>0</v>
      </c>
      <c r="K311" s="152" t="s">
        <v>297</v>
      </c>
    </row>
    <row r="312" spans="1:11" s="189" customFormat="1" ht="15.75">
      <c r="A312" s="196" t="s">
        <v>61</v>
      </c>
      <c r="B312" s="276"/>
      <c r="C312" s="197">
        <v>1</v>
      </c>
      <c r="D312" s="197">
        <v>3</v>
      </c>
      <c r="E312" s="198">
        <v>874</v>
      </c>
      <c r="F312" s="183">
        <f ca="1" t="shared" si="70"/>
        <v>874</v>
      </c>
      <c r="G312" s="184">
        <f t="shared" si="71"/>
        <v>0</v>
      </c>
      <c r="H312" s="184">
        <f>6*B312</f>
        <v>0</v>
      </c>
      <c r="I312" s="185">
        <f t="shared" si="65"/>
        <v>0</v>
      </c>
      <c r="J312" s="184">
        <f t="shared" si="66"/>
        <v>0</v>
      </c>
      <c r="K312" s="152" t="s">
        <v>297</v>
      </c>
    </row>
    <row r="313" spans="1:11" s="189" customFormat="1" ht="47.25">
      <c r="A313" s="196" t="s">
        <v>128</v>
      </c>
      <c r="B313" s="276"/>
      <c r="C313" s="232">
        <v>12</v>
      </c>
      <c r="D313" s="232">
        <v>0.75</v>
      </c>
      <c r="E313" s="200">
        <v>119.6</v>
      </c>
      <c r="F313" s="183">
        <f ca="1" t="shared" si="70"/>
        <v>119.6</v>
      </c>
      <c r="G313" s="184">
        <f t="shared" si="71"/>
        <v>0</v>
      </c>
      <c r="H313" s="184">
        <f>19.5*B313</f>
        <v>0</v>
      </c>
      <c r="I313" s="185">
        <f t="shared" si="65"/>
        <v>0</v>
      </c>
      <c r="J313" s="184">
        <f t="shared" si="66"/>
        <v>0</v>
      </c>
      <c r="K313" s="152" t="s">
        <v>297</v>
      </c>
    </row>
    <row r="314" spans="1:11" s="189" customFormat="1" ht="15">
      <c r="A314" s="229" t="s">
        <v>62</v>
      </c>
      <c r="B314" s="280"/>
      <c r="C314" s="230"/>
      <c r="D314" s="230"/>
      <c r="E314" s="231"/>
      <c r="F314" s="183">
        <f ca="1" t="shared" si="70"/>
        <v>0</v>
      </c>
      <c r="G314" s="184"/>
      <c r="H314" s="184"/>
      <c r="I314" s="185"/>
      <c r="J314" s="184"/>
      <c r="K314" s="152" t="s">
        <v>297</v>
      </c>
    </row>
    <row r="315" spans="1:11" s="189" customFormat="1" ht="31.5">
      <c r="A315" s="218" t="s">
        <v>129</v>
      </c>
      <c r="B315" s="276"/>
      <c r="C315" s="182">
        <v>12</v>
      </c>
      <c r="D315" s="182">
        <v>0.75</v>
      </c>
      <c r="E315" s="227">
        <v>151.58</v>
      </c>
      <c r="F315" s="183">
        <f ca="1" t="shared" si="70"/>
        <v>151.58</v>
      </c>
      <c r="G315" s="184">
        <f t="shared" si="71"/>
        <v>0</v>
      </c>
      <c r="H315" s="184">
        <f>19.5*B315</f>
        <v>0</v>
      </c>
      <c r="I315" s="185">
        <f t="shared" si="65"/>
        <v>0</v>
      </c>
      <c r="J315" s="184">
        <f t="shared" si="66"/>
        <v>0</v>
      </c>
      <c r="K315" s="152" t="s">
        <v>297</v>
      </c>
    </row>
    <row r="316" spans="1:11" s="189" customFormat="1" ht="31.5">
      <c r="A316" s="218" t="s">
        <v>130</v>
      </c>
      <c r="B316" s="276"/>
      <c r="C316" s="182">
        <v>12</v>
      </c>
      <c r="D316" s="182">
        <v>0.75</v>
      </c>
      <c r="E316" s="227">
        <v>212</v>
      </c>
      <c r="F316" s="183">
        <f ca="1" t="shared" si="70"/>
        <v>212</v>
      </c>
      <c r="G316" s="184">
        <f t="shared" si="71"/>
        <v>0</v>
      </c>
      <c r="H316" s="184">
        <f>19.5*B316</f>
        <v>0</v>
      </c>
      <c r="I316" s="185">
        <f t="shared" si="65"/>
        <v>0</v>
      </c>
      <c r="J316" s="184">
        <f t="shared" si="66"/>
        <v>0</v>
      </c>
      <c r="K316" s="152" t="s">
        <v>297</v>
      </c>
    </row>
    <row r="317" spans="1:11" s="189" customFormat="1" ht="15">
      <c r="A317" s="229" t="s">
        <v>63</v>
      </c>
      <c r="B317" s="280"/>
      <c r="C317" s="230"/>
      <c r="D317" s="230"/>
      <c r="E317" s="231"/>
      <c r="F317" s="183">
        <f ca="1" t="shared" si="70"/>
        <v>0</v>
      </c>
      <c r="G317" s="184"/>
      <c r="H317" s="184"/>
      <c r="I317" s="185"/>
      <c r="J317" s="184"/>
      <c r="K317" s="152" t="s">
        <v>297</v>
      </c>
    </row>
    <row r="318" spans="1:11" s="189" customFormat="1" ht="31.5">
      <c r="A318" s="187" t="s">
        <v>64</v>
      </c>
      <c r="B318" s="276"/>
      <c r="C318" s="182">
        <v>6</v>
      </c>
      <c r="D318" s="182">
        <v>0.75</v>
      </c>
      <c r="E318" s="188">
        <v>332.84</v>
      </c>
      <c r="F318" s="183">
        <f ca="1" t="shared" si="70"/>
        <v>332.84</v>
      </c>
      <c r="G318" s="184">
        <f t="shared" si="71"/>
        <v>0</v>
      </c>
      <c r="H318" s="184">
        <f>19.5*B318</f>
        <v>0</v>
      </c>
      <c r="I318" s="185">
        <f t="shared" si="65"/>
        <v>0</v>
      </c>
      <c r="J318" s="184">
        <f t="shared" si="66"/>
        <v>0</v>
      </c>
      <c r="K318" s="152" t="s">
        <v>297</v>
      </c>
    </row>
    <row r="319" spans="1:11" s="189" customFormat="1" ht="15.75">
      <c r="A319" s="229" t="s">
        <v>348</v>
      </c>
      <c r="B319" s="276"/>
      <c r="C319" s="182"/>
      <c r="D319" s="182"/>
      <c r="E319" s="188"/>
      <c r="F319" s="183"/>
      <c r="G319" s="184"/>
      <c r="H319" s="184"/>
      <c r="I319" s="185"/>
      <c r="J319" s="184">
        <f t="shared" si="66"/>
        <v>0</v>
      </c>
      <c r="K319" s="152"/>
    </row>
    <row r="320" spans="1:11" s="189" customFormat="1" ht="15.75">
      <c r="A320" s="306" t="s">
        <v>349</v>
      </c>
      <c r="B320" s="276"/>
      <c r="C320" s="182">
        <v>12</v>
      </c>
      <c r="D320" s="182">
        <v>0.75</v>
      </c>
      <c r="E320" s="188">
        <v>125.19</v>
      </c>
      <c r="F320" s="183">
        <f ca="1" t="shared" si="70"/>
        <v>125.19</v>
      </c>
      <c r="G320" s="184">
        <f t="shared" si="71"/>
        <v>0</v>
      </c>
      <c r="H320" s="184">
        <f>19.5*B320</f>
        <v>0</v>
      </c>
      <c r="I320" s="185">
        <f t="shared" si="65"/>
        <v>0</v>
      </c>
      <c r="J320" s="184">
        <f t="shared" si="66"/>
        <v>0</v>
      </c>
      <c r="K320" s="152" t="s">
        <v>297</v>
      </c>
    </row>
    <row r="321" spans="1:11" s="189" customFormat="1" ht="15.75">
      <c r="A321" s="306" t="s">
        <v>350</v>
      </c>
      <c r="B321" s="276"/>
      <c r="C321" s="182">
        <v>12</v>
      </c>
      <c r="D321" s="182">
        <v>0.75</v>
      </c>
      <c r="E321" s="188">
        <v>125.19</v>
      </c>
      <c r="F321" s="183">
        <f ca="1" t="shared" si="70"/>
        <v>125.19</v>
      </c>
      <c r="G321" s="184">
        <f t="shared" si="71"/>
        <v>0</v>
      </c>
      <c r="H321" s="184">
        <f>19.5*B321</f>
        <v>0</v>
      </c>
      <c r="I321" s="185">
        <f t="shared" si="65"/>
        <v>0</v>
      </c>
      <c r="J321" s="184">
        <f t="shared" si="66"/>
        <v>0</v>
      </c>
      <c r="K321" s="152" t="s">
        <v>297</v>
      </c>
    </row>
    <row r="322" spans="1:11" s="189" customFormat="1" ht="18">
      <c r="A322" s="233" t="s">
        <v>264</v>
      </c>
      <c r="B322" s="280"/>
      <c r="C322" s="234"/>
      <c r="D322" s="235"/>
      <c r="E322" s="236"/>
      <c r="F322" s="237">
        <f ca="1" t="shared" si="70"/>
        <v>0</v>
      </c>
      <c r="G322" s="238"/>
      <c r="H322" s="238"/>
      <c r="I322" s="239"/>
      <c r="J322" s="238"/>
      <c r="K322" s="152" t="s">
        <v>297</v>
      </c>
    </row>
    <row r="323" spans="1:11" s="168" customFormat="1" ht="20.25">
      <c r="A323" s="223" t="s">
        <v>262</v>
      </c>
      <c r="B323" s="282"/>
      <c r="C323" s="223"/>
      <c r="D323" s="223"/>
      <c r="E323" s="224"/>
      <c r="F323" s="225">
        <f ca="1" t="shared" si="70"/>
        <v>0</v>
      </c>
      <c r="G323" s="226"/>
      <c r="H323" s="226"/>
      <c r="I323" s="226"/>
      <c r="J323" s="226"/>
      <c r="K323" s="152" t="s">
        <v>294</v>
      </c>
    </row>
    <row r="324" spans="1:11" s="189" customFormat="1" ht="15">
      <c r="A324" s="229" t="s">
        <v>41</v>
      </c>
      <c r="B324" s="280"/>
      <c r="C324" s="230"/>
      <c r="D324" s="230"/>
      <c r="E324" s="231"/>
      <c r="F324" s="183">
        <f ca="1" t="shared" si="70"/>
        <v>0</v>
      </c>
      <c r="G324" s="184"/>
      <c r="H324" s="184"/>
      <c r="I324" s="185"/>
      <c r="J324" s="184"/>
      <c r="K324" s="152" t="s">
        <v>294</v>
      </c>
    </row>
    <row r="325" spans="1:11" s="189" customFormat="1" ht="15.75">
      <c r="A325" s="187" t="s">
        <v>167</v>
      </c>
      <c r="B325" s="276"/>
      <c r="C325" s="182">
        <v>12</v>
      </c>
      <c r="D325" s="182">
        <v>0.7</v>
      </c>
      <c r="E325" s="188">
        <v>130</v>
      </c>
      <c r="F325" s="183">
        <f ca="1" t="shared" si="70"/>
        <v>130</v>
      </c>
      <c r="G325" s="184">
        <f>B325*C325</f>
        <v>0</v>
      </c>
      <c r="H325" s="184">
        <f>15.2*B325</f>
        <v>0</v>
      </c>
      <c r="I325" s="185">
        <f>G325*F325</f>
        <v>0</v>
      </c>
      <c r="J325" s="184">
        <f>(G325*D325)/10</f>
        <v>0</v>
      </c>
      <c r="K325" s="152" t="s">
        <v>294</v>
      </c>
    </row>
    <row r="326" spans="1:11" s="189" customFormat="1" ht="15.75">
      <c r="A326" s="187" t="s">
        <v>113</v>
      </c>
      <c r="B326" s="276"/>
      <c r="C326" s="182">
        <v>12</v>
      </c>
      <c r="D326" s="182">
        <v>0.7</v>
      </c>
      <c r="E326" s="188">
        <v>90.63</v>
      </c>
      <c r="F326" s="183">
        <f ca="1" t="shared" si="70"/>
        <v>90.63</v>
      </c>
      <c r="G326" s="184">
        <f>B326*C326</f>
        <v>0</v>
      </c>
      <c r="H326" s="184">
        <f>15.2*B326</f>
        <v>0</v>
      </c>
      <c r="I326" s="185">
        <f>G326*F326</f>
        <v>0</v>
      </c>
      <c r="J326" s="184">
        <f>(G326*D326)/10</f>
        <v>0</v>
      </c>
      <c r="K326" s="152" t="s">
        <v>294</v>
      </c>
    </row>
    <row r="327" spans="1:11" s="189" customFormat="1" ht="15.75">
      <c r="A327" s="187" t="s">
        <v>114</v>
      </c>
      <c r="B327" s="276"/>
      <c r="C327" s="182">
        <v>12</v>
      </c>
      <c r="D327" s="182">
        <v>0.7</v>
      </c>
      <c r="E327" s="188">
        <v>71.55</v>
      </c>
      <c r="F327" s="183">
        <f ca="1">E327-(E327*INDIRECT(K327))</f>
        <v>71.55</v>
      </c>
      <c r="G327" s="184">
        <f>B327*C327</f>
        <v>0</v>
      </c>
      <c r="H327" s="184">
        <f>15.2*B327</f>
        <v>0</v>
      </c>
      <c r="I327" s="185">
        <f>G327*F327</f>
        <v>0</v>
      </c>
      <c r="J327" s="184">
        <f>(G327*D327)/10</f>
        <v>0</v>
      </c>
      <c r="K327" s="152" t="s">
        <v>294</v>
      </c>
    </row>
    <row r="328" spans="1:11" s="189" customFormat="1" ht="15">
      <c r="A328" s="229" t="s">
        <v>93</v>
      </c>
      <c r="B328" s="280"/>
      <c r="C328" s="230"/>
      <c r="D328" s="230"/>
      <c r="E328" s="231"/>
      <c r="F328" s="183">
        <f ca="1" t="shared" si="70"/>
        <v>0</v>
      </c>
      <c r="G328" s="184"/>
      <c r="H328" s="184"/>
      <c r="I328" s="185"/>
      <c r="J328" s="184"/>
      <c r="K328" s="152" t="s">
        <v>294</v>
      </c>
    </row>
    <row r="329" spans="1:11" s="189" customFormat="1" ht="15.75">
      <c r="A329" s="187" t="s">
        <v>168</v>
      </c>
      <c r="B329" s="276"/>
      <c r="C329" s="182">
        <v>12</v>
      </c>
      <c r="D329" s="182">
        <v>0.75</v>
      </c>
      <c r="E329" s="188">
        <v>104.94</v>
      </c>
      <c r="F329" s="183">
        <f ca="1" t="shared" si="70"/>
        <v>104.94</v>
      </c>
      <c r="G329" s="184">
        <f>B329*C329</f>
        <v>0</v>
      </c>
      <c r="H329" s="184">
        <f>7.8*B329</f>
        <v>0</v>
      </c>
      <c r="I329" s="185">
        <f>G329*F329</f>
        <v>0</v>
      </c>
      <c r="J329" s="184">
        <f aca="true" t="shared" si="74" ref="J329:J335">(G329*D329)/10</f>
        <v>0</v>
      </c>
      <c r="K329" s="152" t="s">
        <v>294</v>
      </c>
    </row>
    <row r="330" spans="1:11" s="189" customFormat="1" ht="15.75">
      <c r="A330" s="187" t="s">
        <v>169</v>
      </c>
      <c r="B330" s="276"/>
      <c r="C330" s="182">
        <v>12</v>
      </c>
      <c r="D330" s="182">
        <v>0.75</v>
      </c>
      <c r="E330" s="188">
        <v>104.94</v>
      </c>
      <c r="F330" s="183">
        <f ca="1" t="shared" si="70"/>
        <v>104.94</v>
      </c>
      <c r="G330" s="184">
        <f>B330*C330</f>
        <v>0</v>
      </c>
      <c r="H330" s="184">
        <f>7.8*B330</f>
        <v>0</v>
      </c>
      <c r="I330" s="185">
        <f>G330*F330</f>
        <v>0</v>
      </c>
      <c r="J330" s="184">
        <f t="shared" si="74"/>
        <v>0</v>
      </c>
      <c r="K330" s="152" t="s">
        <v>294</v>
      </c>
    </row>
    <row r="331" spans="1:11" s="189" customFormat="1" ht="15.75">
      <c r="A331" s="187" t="s">
        <v>170</v>
      </c>
      <c r="B331" s="276"/>
      <c r="C331" s="182">
        <v>12</v>
      </c>
      <c r="D331" s="182">
        <v>0.75</v>
      </c>
      <c r="E331" s="188">
        <v>104.94</v>
      </c>
      <c r="F331" s="183">
        <f ca="1" t="shared" si="70"/>
        <v>104.94</v>
      </c>
      <c r="G331" s="184">
        <f>B331*C331</f>
        <v>0</v>
      </c>
      <c r="H331" s="184">
        <f>7.8*B331</f>
        <v>0</v>
      </c>
      <c r="I331" s="185">
        <f>G331*F331</f>
        <v>0</v>
      </c>
      <c r="J331" s="184">
        <f t="shared" si="74"/>
        <v>0</v>
      </c>
      <c r="K331" s="152" t="s">
        <v>294</v>
      </c>
    </row>
    <row r="332" spans="1:11" s="189" customFormat="1" ht="15.75">
      <c r="A332" s="187" t="s">
        <v>171</v>
      </c>
      <c r="B332" s="276"/>
      <c r="C332" s="182">
        <v>12</v>
      </c>
      <c r="D332" s="182">
        <v>0.75</v>
      </c>
      <c r="E332" s="188">
        <v>104.94</v>
      </c>
      <c r="F332" s="183">
        <f ca="1" t="shared" si="70"/>
        <v>104.94</v>
      </c>
      <c r="G332" s="184">
        <f>B332*C332</f>
        <v>0</v>
      </c>
      <c r="H332" s="184">
        <f>7.8*B332</f>
        <v>0</v>
      </c>
      <c r="I332" s="185">
        <f>G332*F332</f>
        <v>0</v>
      </c>
      <c r="J332" s="184">
        <f t="shared" si="74"/>
        <v>0</v>
      </c>
      <c r="K332" s="152" t="s">
        <v>294</v>
      </c>
    </row>
    <row r="333" spans="1:11" s="189" customFormat="1" ht="15.75">
      <c r="A333" s="187" t="s">
        <v>172</v>
      </c>
      <c r="B333" s="276"/>
      <c r="C333" s="182">
        <v>12</v>
      </c>
      <c r="D333" s="182">
        <v>0.75</v>
      </c>
      <c r="E333" s="188">
        <v>104.94</v>
      </c>
      <c r="F333" s="183">
        <f ca="1" t="shared" si="70"/>
        <v>104.94</v>
      </c>
      <c r="G333" s="184">
        <f>B333*C333</f>
        <v>0</v>
      </c>
      <c r="H333" s="184">
        <f>7.8*B333</f>
        <v>0</v>
      </c>
      <c r="I333" s="185">
        <f>G333*F333</f>
        <v>0</v>
      </c>
      <c r="J333" s="184">
        <f t="shared" si="74"/>
        <v>0</v>
      </c>
      <c r="K333" s="152" t="s">
        <v>294</v>
      </c>
    </row>
    <row r="334" spans="1:11" s="189" customFormat="1" ht="15">
      <c r="A334" s="229" t="s">
        <v>42</v>
      </c>
      <c r="B334" s="280"/>
      <c r="C334" s="230"/>
      <c r="D334" s="230"/>
      <c r="E334" s="231"/>
      <c r="F334" s="183">
        <f ca="1" t="shared" si="70"/>
        <v>0</v>
      </c>
      <c r="G334" s="184"/>
      <c r="H334" s="184"/>
      <c r="I334" s="185"/>
      <c r="J334" s="184">
        <f t="shared" si="74"/>
        <v>0</v>
      </c>
      <c r="K334" s="152" t="s">
        <v>294</v>
      </c>
    </row>
    <row r="335" spans="1:11" s="189" customFormat="1" ht="15.75">
      <c r="A335" s="187" t="s">
        <v>43</v>
      </c>
      <c r="B335" s="276"/>
      <c r="C335" s="182">
        <v>12</v>
      </c>
      <c r="D335" s="182">
        <v>0.7</v>
      </c>
      <c r="E335" s="188">
        <v>33.92</v>
      </c>
      <c r="F335" s="183">
        <f ca="1" t="shared" si="70"/>
        <v>33.92</v>
      </c>
      <c r="G335" s="184">
        <f>B335*C335</f>
        <v>0</v>
      </c>
      <c r="H335" s="184">
        <f>15.2*B335</f>
        <v>0</v>
      </c>
      <c r="I335" s="185">
        <f>G335*F335</f>
        <v>0</v>
      </c>
      <c r="J335" s="184">
        <f t="shared" si="74"/>
        <v>0</v>
      </c>
      <c r="K335" s="152" t="s">
        <v>294</v>
      </c>
    </row>
    <row r="336" spans="1:11" s="189" customFormat="1" ht="20.25">
      <c r="A336" s="223" t="s">
        <v>282</v>
      </c>
      <c r="B336" s="282"/>
      <c r="C336" s="222"/>
      <c r="D336" s="222"/>
      <c r="E336" s="240"/>
      <c r="F336" s="183">
        <f ca="1" t="shared" si="70"/>
        <v>0</v>
      </c>
      <c r="G336" s="184"/>
      <c r="H336" s="184"/>
      <c r="I336" s="184"/>
      <c r="J336" s="184"/>
      <c r="K336" s="152" t="s">
        <v>294</v>
      </c>
    </row>
    <row r="337" spans="1:11" s="189" customFormat="1" ht="15.75">
      <c r="A337" s="222" t="s">
        <v>196</v>
      </c>
      <c r="B337" s="282"/>
      <c r="C337" s="215"/>
      <c r="D337" s="215"/>
      <c r="E337" s="220"/>
      <c r="F337" s="183">
        <f aca="true" ca="1" t="shared" si="75" ref="F337:F386">E337-(E337*INDIRECT(K337))</f>
        <v>0</v>
      </c>
      <c r="G337" s="184"/>
      <c r="H337" s="184"/>
      <c r="I337" s="185"/>
      <c r="J337" s="184"/>
      <c r="K337" s="152" t="s">
        <v>294</v>
      </c>
    </row>
    <row r="338" spans="1:11" s="189" customFormat="1" ht="15.75">
      <c r="A338" s="218" t="s">
        <v>210</v>
      </c>
      <c r="B338" s="288"/>
      <c r="C338" s="215">
        <v>1</v>
      </c>
      <c r="D338" s="215">
        <v>10</v>
      </c>
      <c r="E338" s="220">
        <v>556.5</v>
      </c>
      <c r="F338" s="183">
        <f ca="1" t="shared" si="75"/>
        <v>556.5</v>
      </c>
      <c r="G338" s="184">
        <f aca="true" t="shared" si="76" ref="G338:G350">B338*C338</f>
        <v>0</v>
      </c>
      <c r="H338" s="184">
        <f>10.5*B338</f>
        <v>0</v>
      </c>
      <c r="I338" s="185">
        <f aca="true" t="shared" si="77" ref="I338:I350">G338*F338</f>
        <v>0</v>
      </c>
      <c r="J338" s="184">
        <f aca="true" t="shared" si="78" ref="J338:J350">(G338*D338)/10</f>
        <v>0</v>
      </c>
      <c r="K338" s="152" t="s">
        <v>294</v>
      </c>
    </row>
    <row r="339" spans="1:11" s="189" customFormat="1" ht="15.75">
      <c r="A339" s="218" t="s">
        <v>243</v>
      </c>
      <c r="B339" s="288"/>
      <c r="C339" s="215">
        <v>1</v>
      </c>
      <c r="D339" s="215">
        <v>10</v>
      </c>
      <c r="E339" s="220">
        <v>556.5</v>
      </c>
      <c r="F339" s="183">
        <f ca="1" t="shared" si="75"/>
        <v>556.5</v>
      </c>
      <c r="G339" s="184">
        <f t="shared" si="76"/>
        <v>0</v>
      </c>
      <c r="H339" s="184">
        <f aca="true" t="shared" si="79" ref="H339:H350">10.5*B339</f>
        <v>0</v>
      </c>
      <c r="I339" s="185">
        <f t="shared" si="77"/>
        <v>0</v>
      </c>
      <c r="J339" s="184">
        <f t="shared" si="78"/>
        <v>0</v>
      </c>
      <c r="K339" s="152" t="s">
        <v>294</v>
      </c>
    </row>
    <row r="340" spans="1:11" s="189" customFormat="1" ht="15.75">
      <c r="A340" s="218" t="s">
        <v>257</v>
      </c>
      <c r="B340" s="288"/>
      <c r="C340" s="215">
        <v>1</v>
      </c>
      <c r="D340" s="215">
        <v>10</v>
      </c>
      <c r="E340" s="220">
        <v>556.5</v>
      </c>
      <c r="F340" s="183">
        <f ca="1" t="shared" si="75"/>
        <v>556.5</v>
      </c>
      <c r="G340" s="184">
        <f t="shared" si="76"/>
        <v>0</v>
      </c>
      <c r="H340" s="184">
        <f t="shared" si="79"/>
        <v>0</v>
      </c>
      <c r="I340" s="185">
        <f t="shared" si="77"/>
        <v>0</v>
      </c>
      <c r="J340" s="184">
        <f t="shared" si="78"/>
        <v>0</v>
      </c>
      <c r="K340" s="152" t="s">
        <v>294</v>
      </c>
    </row>
    <row r="341" spans="1:11" s="189" customFormat="1" ht="15.75">
      <c r="A341" s="218" t="s">
        <v>244</v>
      </c>
      <c r="B341" s="288"/>
      <c r="C341" s="215">
        <v>1</v>
      </c>
      <c r="D341" s="215">
        <v>10</v>
      </c>
      <c r="E341" s="220">
        <v>556.5</v>
      </c>
      <c r="F341" s="183">
        <f ca="1" t="shared" si="75"/>
        <v>556.5</v>
      </c>
      <c r="G341" s="184">
        <f t="shared" si="76"/>
        <v>0</v>
      </c>
      <c r="H341" s="184">
        <f t="shared" si="79"/>
        <v>0</v>
      </c>
      <c r="I341" s="185">
        <f t="shared" si="77"/>
        <v>0</v>
      </c>
      <c r="J341" s="184">
        <f t="shared" si="78"/>
        <v>0</v>
      </c>
      <c r="K341" s="152" t="s">
        <v>294</v>
      </c>
    </row>
    <row r="342" spans="1:11" s="189" customFormat="1" ht="15.75">
      <c r="A342" s="218" t="s">
        <v>212</v>
      </c>
      <c r="B342" s="288"/>
      <c r="C342" s="215">
        <v>1</v>
      </c>
      <c r="D342" s="215">
        <v>10</v>
      </c>
      <c r="E342" s="220">
        <v>556.5</v>
      </c>
      <c r="F342" s="183">
        <f ca="1" t="shared" si="75"/>
        <v>556.5</v>
      </c>
      <c r="G342" s="184">
        <f t="shared" si="76"/>
        <v>0</v>
      </c>
      <c r="H342" s="184">
        <f t="shared" si="79"/>
        <v>0</v>
      </c>
      <c r="I342" s="185">
        <f t="shared" si="77"/>
        <v>0</v>
      </c>
      <c r="J342" s="184">
        <f t="shared" si="78"/>
        <v>0</v>
      </c>
      <c r="K342" s="152" t="s">
        <v>294</v>
      </c>
    </row>
    <row r="343" spans="1:11" s="189" customFormat="1" ht="15.75">
      <c r="A343" s="218" t="s">
        <v>246</v>
      </c>
      <c r="B343" s="288"/>
      <c r="C343" s="215">
        <v>1</v>
      </c>
      <c r="D343" s="215">
        <v>10</v>
      </c>
      <c r="E343" s="220">
        <v>556.5</v>
      </c>
      <c r="F343" s="183">
        <f ca="1" t="shared" si="75"/>
        <v>556.5</v>
      </c>
      <c r="G343" s="184">
        <f t="shared" si="76"/>
        <v>0</v>
      </c>
      <c r="H343" s="184">
        <f t="shared" si="79"/>
        <v>0</v>
      </c>
      <c r="I343" s="185">
        <f t="shared" si="77"/>
        <v>0</v>
      </c>
      <c r="J343" s="184">
        <f t="shared" si="78"/>
        <v>0</v>
      </c>
      <c r="K343" s="152" t="s">
        <v>294</v>
      </c>
    </row>
    <row r="344" spans="1:11" s="189" customFormat="1" ht="15.75">
      <c r="A344" s="218" t="s">
        <v>247</v>
      </c>
      <c r="B344" s="288"/>
      <c r="C344" s="215">
        <v>1</v>
      </c>
      <c r="D344" s="215">
        <v>10</v>
      </c>
      <c r="E344" s="220">
        <v>1001.7</v>
      </c>
      <c r="F344" s="183">
        <f ca="1" t="shared" si="75"/>
        <v>1001.7</v>
      </c>
      <c r="G344" s="184">
        <f t="shared" si="76"/>
        <v>0</v>
      </c>
      <c r="H344" s="184">
        <f t="shared" si="79"/>
        <v>0</v>
      </c>
      <c r="I344" s="185">
        <f t="shared" si="77"/>
        <v>0</v>
      </c>
      <c r="J344" s="184">
        <f t="shared" si="78"/>
        <v>0</v>
      </c>
      <c r="K344" s="152" t="s">
        <v>294</v>
      </c>
    </row>
    <row r="345" spans="1:11" s="189" customFormat="1" ht="15.75">
      <c r="A345" s="292" t="s">
        <v>333</v>
      </c>
      <c r="B345" s="303"/>
      <c r="C345" s="299">
        <v>1</v>
      </c>
      <c r="D345" s="299">
        <v>10</v>
      </c>
      <c r="E345" s="220">
        <v>1001.7</v>
      </c>
      <c r="F345" s="295">
        <f ca="1" t="shared" si="75"/>
        <v>1001.7</v>
      </c>
      <c r="G345" s="296">
        <f t="shared" si="76"/>
        <v>0</v>
      </c>
      <c r="H345" s="296">
        <f t="shared" si="79"/>
        <v>0</v>
      </c>
      <c r="I345" s="297">
        <f t="shared" si="77"/>
        <v>0</v>
      </c>
      <c r="J345" s="296">
        <f t="shared" si="78"/>
        <v>0</v>
      </c>
      <c r="K345" s="152" t="s">
        <v>294</v>
      </c>
    </row>
    <row r="346" spans="1:11" s="189" customFormat="1" ht="15.75">
      <c r="A346" s="292" t="s">
        <v>197</v>
      </c>
      <c r="B346" s="298"/>
      <c r="C346" s="299">
        <v>1</v>
      </c>
      <c r="D346" s="299">
        <v>10</v>
      </c>
      <c r="E346" s="220">
        <v>1001.7</v>
      </c>
      <c r="F346" s="295">
        <f ca="1" t="shared" si="75"/>
        <v>1001.7</v>
      </c>
      <c r="G346" s="296">
        <f t="shared" si="76"/>
        <v>0</v>
      </c>
      <c r="H346" s="296">
        <f t="shared" si="79"/>
        <v>0</v>
      </c>
      <c r="I346" s="297">
        <f t="shared" si="77"/>
        <v>0</v>
      </c>
      <c r="J346" s="296">
        <f t="shared" si="78"/>
        <v>0</v>
      </c>
      <c r="K346" s="152" t="s">
        <v>294</v>
      </c>
    </row>
    <row r="347" spans="1:11" s="189" customFormat="1" ht="15.75">
      <c r="A347" s="218" t="s">
        <v>258</v>
      </c>
      <c r="B347" s="280"/>
      <c r="C347" s="215">
        <v>1</v>
      </c>
      <c r="D347" s="215">
        <v>10</v>
      </c>
      <c r="E347" s="220">
        <v>556.5</v>
      </c>
      <c r="F347" s="183">
        <f ca="1" t="shared" si="75"/>
        <v>556.5</v>
      </c>
      <c r="G347" s="184">
        <f t="shared" si="76"/>
        <v>0</v>
      </c>
      <c r="H347" s="184">
        <f t="shared" si="79"/>
        <v>0</v>
      </c>
      <c r="I347" s="185">
        <f t="shared" si="77"/>
        <v>0</v>
      </c>
      <c r="J347" s="184">
        <f t="shared" si="78"/>
        <v>0</v>
      </c>
      <c r="K347" s="152" t="s">
        <v>294</v>
      </c>
    </row>
    <row r="348" spans="1:11" s="189" customFormat="1" ht="15.75">
      <c r="A348" s="218" t="s">
        <v>259</v>
      </c>
      <c r="B348" s="280"/>
      <c r="C348" s="215">
        <v>1</v>
      </c>
      <c r="D348" s="215">
        <v>10</v>
      </c>
      <c r="E348" s="220">
        <v>556.5</v>
      </c>
      <c r="F348" s="183">
        <f ca="1" t="shared" si="75"/>
        <v>556.5</v>
      </c>
      <c r="G348" s="184">
        <f t="shared" si="76"/>
        <v>0</v>
      </c>
      <c r="H348" s="184">
        <f t="shared" si="79"/>
        <v>0</v>
      </c>
      <c r="I348" s="185">
        <f t="shared" si="77"/>
        <v>0</v>
      </c>
      <c r="J348" s="184">
        <f t="shared" si="78"/>
        <v>0</v>
      </c>
      <c r="K348" s="152" t="s">
        <v>294</v>
      </c>
    </row>
    <row r="349" spans="1:11" s="189" customFormat="1" ht="15.75">
      <c r="A349" s="218" t="s">
        <v>230</v>
      </c>
      <c r="B349" s="280"/>
      <c r="C349" s="215">
        <v>1</v>
      </c>
      <c r="D349" s="215">
        <v>10</v>
      </c>
      <c r="E349" s="220">
        <v>556.5</v>
      </c>
      <c r="F349" s="183">
        <f ca="1" t="shared" si="75"/>
        <v>556.5</v>
      </c>
      <c r="G349" s="184">
        <f t="shared" si="76"/>
        <v>0</v>
      </c>
      <c r="H349" s="184">
        <f t="shared" si="79"/>
        <v>0</v>
      </c>
      <c r="I349" s="185">
        <f t="shared" si="77"/>
        <v>0</v>
      </c>
      <c r="J349" s="184">
        <f t="shared" si="78"/>
        <v>0</v>
      </c>
      <c r="K349" s="152" t="s">
        <v>294</v>
      </c>
    </row>
    <row r="350" spans="1:11" s="189" customFormat="1" ht="15.75">
      <c r="A350" s="218" t="s">
        <v>231</v>
      </c>
      <c r="B350" s="280"/>
      <c r="C350" s="215">
        <v>1</v>
      </c>
      <c r="D350" s="215">
        <v>10</v>
      </c>
      <c r="E350" s="220">
        <v>556.5</v>
      </c>
      <c r="F350" s="183">
        <f ca="1" t="shared" si="75"/>
        <v>556.5</v>
      </c>
      <c r="G350" s="184">
        <f t="shared" si="76"/>
        <v>0</v>
      </c>
      <c r="H350" s="184">
        <f t="shared" si="79"/>
        <v>0</v>
      </c>
      <c r="I350" s="185">
        <f t="shared" si="77"/>
        <v>0</v>
      </c>
      <c r="J350" s="184">
        <f t="shared" si="78"/>
        <v>0</v>
      </c>
      <c r="K350" s="152" t="s">
        <v>294</v>
      </c>
    </row>
    <row r="351" spans="1:11" s="189" customFormat="1" ht="15.75">
      <c r="A351" s="222" t="s">
        <v>198</v>
      </c>
      <c r="B351" s="282"/>
      <c r="C351" s="215"/>
      <c r="D351" s="215"/>
      <c r="E351" s="220"/>
      <c r="F351" s="183">
        <f ca="1" t="shared" si="75"/>
        <v>0</v>
      </c>
      <c r="G351" s="184"/>
      <c r="H351" s="184"/>
      <c r="I351" s="185"/>
      <c r="J351" s="184"/>
      <c r="K351" s="152" t="s">
        <v>294</v>
      </c>
    </row>
    <row r="352" spans="1:11" s="189" customFormat="1" ht="15.75">
      <c r="A352" s="218" t="s">
        <v>210</v>
      </c>
      <c r="B352" s="280"/>
      <c r="C352" s="215">
        <v>1</v>
      </c>
      <c r="D352" s="215">
        <v>20</v>
      </c>
      <c r="E352" s="216">
        <v>1007</v>
      </c>
      <c r="F352" s="183">
        <f ca="1" t="shared" si="75"/>
        <v>1007</v>
      </c>
      <c r="G352" s="184">
        <f aca="true" t="shared" si="80" ref="G352:G369">B352*C352</f>
        <v>0</v>
      </c>
      <c r="H352" s="184">
        <f>20.7*B352</f>
        <v>0</v>
      </c>
      <c r="I352" s="185">
        <f aca="true" t="shared" si="81" ref="I352:I369">G352*F352</f>
        <v>0</v>
      </c>
      <c r="J352" s="184">
        <f aca="true" t="shared" si="82" ref="J352:J369">(G352*D352)/10</f>
        <v>0</v>
      </c>
      <c r="K352" s="152" t="s">
        <v>294</v>
      </c>
    </row>
    <row r="353" spans="1:11" s="189" customFormat="1" ht="15.75">
      <c r="A353" s="218" t="s">
        <v>243</v>
      </c>
      <c r="B353" s="280"/>
      <c r="C353" s="215">
        <v>1</v>
      </c>
      <c r="D353" s="215">
        <v>20</v>
      </c>
      <c r="E353" s="216">
        <v>1007</v>
      </c>
      <c r="F353" s="183">
        <f ca="1" t="shared" si="75"/>
        <v>1007</v>
      </c>
      <c r="G353" s="184">
        <f t="shared" si="80"/>
        <v>0</v>
      </c>
      <c r="H353" s="184">
        <f aca="true" t="shared" si="83" ref="H353:H369">20.7*B353</f>
        <v>0</v>
      </c>
      <c r="I353" s="185">
        <f t="shared" si="81"/>
        <v>0</v>
      </c>
      <c r="J353" s="184">
        <f t="shared" si="82"/>
        <v>0</v>
      </c>
      <c r="K353" s="152" t="s">
        <v>294</v>
      </c>
    </row>
    <row r="354" spans="1:11" s="189" customFormat="1" ht="15.75">
      <c r="A354" s="218" t="s">
        <v>242</v>
      </c>
      <c r="B354" s="280"/>
      <c r="C354" s="215">
        <v>1</v>
      </c>
      <c r="D354" s="215">
        <v>20</v>
      </c>
      <c r="E354" s="216">
        <v>1007</v>
      </c>
      <c r="F354" s="183">
        <f ca="1" t="shared" si="75"/>
        <v>1007</v>
      </c>
      <c r="G354" s="184">
        <f t="shared" si="80"/>
        <v>0</v>
      </c>
      <c r="H354" s="184">
        <f t="shared" si="83"/>
        <v>0</v>
      </c>
      <c r="I354" s="185">
        <f t="shared" si="81"/>
        <v>0</v>
      </c>
      <c r="J354" s="184">
        <f t="shared" si="82"/>
        <v>0</v>
      </c>
      <c r="K354" s="152" t="s">
        <v>294</v>
      </c>
    </row>
    <row r="355" spans="1:11" s="189" customFormat="1" ht="15.75">
      <c r="A355" s="218" t="s">
        <v>212</v>
      </c>
      <c r="B355" s="280"/>
      <c r="C355" s="215">
        <v>1</v>
      </c>
      <c r="D355" s="215">
        <v>20</v>
      </c>
      <c r="E355" s="216">
        <v>1007</v>
      </c>
      <c r="F355" s="183">
        <f ca="1" t="shared" si="75"/>
        <v>1007</v>
      </c>
      <c r="G355" s="184">
        <f t="shared" si="80"/>
        <v>0</v>
      </c>
      <c r="H355" s="184">
        <f t="shared" si="83"/>
        <v>0</v>
      </c>
      <c r="I355" s="185">
        <f t="shared" si="81"/>
        <v>0</v>
      </c>
      <c r="J355" s="184">
        <f t="shared" si="82"/>
        <v>0</v>
      </c>
      <c r="K355" s="152" t="s">
        <v>294</v>
      </c>
    </row>
    <row r="356" spans="1:11" s="189" customFormat="1" ht="15.75">
      <c r="A356" s="218" t="s">
        <v>239</v>
      </c>
      <c r="B356" s="280"/>
      <c r="C356" s="215">
        <v>1</v>
      </c>
      <c r="D356" s="215">
        <v>20</v>
      </c>
      <c r="E356" s="216">
        <v>1007</v>
      </c>
      <c r="F356" s="183">
        <f ca="1" t="shared" si="75"/>
        <v>1007</v>
      </c>
      <c r="G356" s="184">
        <f t="shared" si="80"/>
        <v>0</v>
      </c>
      <c r="H356" s="184">
        <f t="shared" si="83"/>
        <v>0</v>
      </c>
      <c r="I356" s="185">
        <f t="shared" si="81"/>
        <v>0</v>
      </c>
      <c r="J356" s="184">
        <f t="shared" si="82"/>
        <v>0</v>
      </c>
      <c r="K356" s="152" t="s">
        <v>294</v>
      </c>
    </row>
    <row r="357" spans="1:11" s="189" customFormat="1" ht="15.75">
      <c r="A357" s="218" t="s">
        <v>246</v>
      </c>
      <c r="B357" s="280"/>
      <c r="C357" s="215">
        <v>1</v>
      </c>
      <c r="D357" s="215">
        <v>20</v>
      </c>
      <c r="E357" s="216">
        <v>1007</v>
      </c>
      <c r="F357" s="183">
        <f ca="1" t="shared" si="75"/>
        <v>1007</v>
      </c>
      <c r="G357" s="184">
        <f t="shared" si="80"/>
        <v>0</v>
      </c>
      <c r="H357" s="184">
        <f t="shared" si="83"/>
        <v>0</v>
      </c>
      <c r="I357" s="185">
        <f t="shared" si="81"/>
        <v>0</v>
      </c>
      <c r="J357" s="184">
        <f t="shared" si="82"/>
        <v>0</v>
      </c>
      <c r="K357" s="152" t="s">
        <v>294</v>
      </c>
    </row>
    <row r="358" spans="1:11" s="189" customFormat="1" ht="15.75">
      <c r="A358" s="218" t="s">
        <v>244</v>
      </c>
      <c r="B358" s="280"/>
      <c r="C358" s="215">
        <v>1</v>
      </c>
      <c r="D358" s="215">
        <v>20</v>
      </c>
      <c r="E358" s="216">
        <v>1007</v>
      </c>
      <c r="F358" s="183">
        <f ca="1" t="shared" si="75"/>
        <v>1007</v>
      </c>
      <c r="G358" s="184">
        <f t="shared" si="80"/>
        <v>0</v>
      </c>
      <c r="H358" s="184">
        <f t="shared" si="83"/>
        <v>0</v>
      </c>
      <c r="I358" s="185">
        <f t="shared" si="81"/>
        <v>0</v>
      </c>
      <c r="J358" s="184">
        <f t="shared" si="82"/>
        <v>0</v>
      </c>
      <c r="K358" s="152" t="s">
        <v>294</v>
      </c>
    </row>
    <row r="359" spans="1:11" s="189" customFormat="1" ht="15.75">
      <c r="A359" s="292" t="s">
        <v>332</v>
      </c>
      <c r="B359" s="298"/>
      <c r="C359" s="310">
        <v>1</v>
      </c>
      <c r="D359" s="310">
        <v>20</v>
      </c>
      <c r="E359" s="216">
        <v>1007</v>
      </c>
      <c r="F359" s="295">
        <f ca="1" t="shared" si="75"/>
        <v>1007</v>
      </c>
      <c r="G359" s="296">
        <f t="shared" si="80"/>
        <v>0</v>
      </c>
      <c r="H359" s="296">
        <f t="shared" si="83"/>
        <v>0</v>
      </c>
      <c r="I359" s="297">
        <f t="shared" si="81"/>
        <v>0</v>
      </c>
      <c r="J359" s="296">
        <f t="shared" si="82"/>
        <v>0</v>
      </c>
      <c r="K359" s="152" t="s">
        <v>294</v>
      </c>
    </row>
    <row r="360" spans="1:11" s="189" customFormat="1" ht="15.75">
      <c r="A360" s="218" t="s">
        <v>254</v>
      </c>
      <c r="B360" s="280"/>
      <c r="C360" s="215">
        <v>1</v>
      </c>
      <c r="D360" s="215">
        <v>20</v>
      </c>
      <c r="E360" s="216">
        <v>1007</v>
      </c>
      <c r="F360" s="183">
        <f ca="1" t="shared" si="75"/>
        <v>1007</v>
      </c>
      <c r="G360" s="184">
        <f t="shared" si="80"/>
        <v>0</v>
      </c>
      <c r="H360" s="184">
        <f t="shared" si="83"/>
        <v>0</v>
      </c>
      <c r="I360" s="185">
        <f t="shared" si="81"/>
        <v>0</v>
      </c>
      <c r="J360" s="184">
        <f t="shared" si="82"/>
        <v>0</v>
      </c>
      <c r="K360" s="152" t="s">
        <v>294</v>
      </c>
    </row>
    <row r="361" spans="1:11" s="189" customFormat="1" ht="15.75">
      <c r="A361" s="292" t="s">
        <v>334</v>
      </c>
      <c r="B361" s="298"/>
      <c r="C361" s="299">
        <v>1</v>
      </c>
      <c r="D361" s="299">
        <v>20</v>
      </c>
      <c r="E361" s="300">
        <v>1772.32</v>
      </c>
      <c r="F361" s="295">
        <f ca="1" t="shared" si="75"/>
        <v>1772.32</v>
      </c>
      <c r="G361" s="296">
        <f t="shared" si="80"/>
        <v>0</v>
      </c>
      <c r="H361" s="296">
        <f t="shared" si="83"/>
        <v>0</v>
      </c>
      <c r="I361" s="297">
        <f t="shared" si="81"/>
        <v>0</v>
      </c>
      <c r="J361" s="296">
        <f t="shared" si="82"/>
        <v>0</v>
      </c>
      <c r="K361" s="152" t="s">
        <v>294</v>
      </c>
    </row>
    <row r="362" spans="1:11" s="189" customFormat="1" ht="15.75">
      <c r="A362" s="292" t="s">
        <v>335</v>
      </c>
      <c r="B362" s="298"/>
      <c r="C362" s="299">
        <v>1</v>
      </c>
      <c r="D362" s="299">
        <v>20</v>
      </c>
      <c r="E362" s="300">
        <v>1772.32</v>
      </c>
      <c r="F362" s="295">
        <f ca="1" t="shared" si="75"/>
        <v>1772.32</v>
      </c>
      <c r="G362" s="296">
        <f t="shared" si="80"/>
        <v>0</v>
      </c>
      <c r="H362" s="296">
        <f t="shared" si="83"/>
        <v>0</v>
      </c>
      <c r="I362" s="297">
        <f t="shared" si="81"/>
        <v>0</v>
      </c>
      <c r="J362" s="296">
        <f t="shared" si="82"/>
        <v>0</v>
      </c>
      <c r="K362" s="152" t="s">
        <v>294</v>
      </c>
    </row>
    <row r="363" spans="1:11" s="189" customFormat="1" ht="15.75">
      <c r="A363" s="292" t="s">
        <v>336</v>
      </c>
      <c r="B363" s="298"/>
      <c r="C363" s="299">
        <v>1</v>
      </c>
      <c r="D363" s="299">
        <v>20</v>
      </c>
      <c r="E363" s="300">
        <v>1772.32</v>
      </c>
      <c r="F363" s="295">
        <f ca="1" t="shared" si="75"/>
        <v>1772.32</v>
      </c>
      <c r="G363" s="296">
        <f t="shared" si="80"/>
        <v>0</v>
      </c>
      <c r="H363" s="296">
        <f t="shared" si="83"/>
        <v>0</v>
      </c>
      <c r="I363" s="297">
        <f t="shared" si="81"/>
        <v>0</v>
      </c>
      <c r="J363" s="296">
        <f t="shared" si="82"/>
        <v>0</v>
      </c>
      <c r="K363" s="152" t="s">
        <v>294</v>
      </c>
    </row>
    <row r="364" spans="1:11" s="189" customFormat="1" ht="15.75">
      <c r="A364" s="292" t="s">
        <v>337</v>
      </c>
      <c r="B364" s="298"/>
      <c r="C364" s="299">
        <v>1</v>
      </c>
      <c r="D364" s="299">
        <v>20</v>
      </c>
      <c r="E364" s="300">
        <v>1772.32</v>
      </c>
      <c r="F364" s="295">
        <f ca="1" t="shared" si="75"/>
        <v>1772.32</v>
      </c>
      <c r="G364" s="296">
        <f t="shared" si="80"/>
        <v>0</v>
      </c>
      <c r="H364" s="296">
        <f t="shared" si="83"/>
        <v>0</v>
      </c>
      <c r="I364" s="297">
        <f t="shared" si="81"/>
        <v>0</v>
      </c>
      <c r="J364" s="296">
        <f t="shared" si="82"/>
        <v>0</v>
      </c>
      <c r="K364" s="152" t="s">
        <v>294</v>
      </c>
    </row>
    <row r="365" spans="1:11" s="189" customFormat="1" ht="15.75">
      <c r="A365" s="218" t="s">
        <v>260</v>
      </c>
      <c r="B365" s="280"/>
      <c r="C365" s="215">
        <v>1</v>
      </c>
      <c r="D365" s="215">
        <v>20</v>
      </c>
      <c r="E365" s="309">
        <v>1772.32</v>
      </c>
      <c r="F365" s="183">
        <f ca="1" t="shared" si="75"/>
        <v>1772.32</v>
      </c>
      <c r="G365" s="184">
        <f t="shared" si="80"/>
        <v>0</v>
      </c>
      <c r="H365" s="184">
        <f t="shared" si="83"/>
        <v>0</v>
      </c>
      <c r="I365" s="185">
        <f t="shared" si="81"/>
        <v>0</v>
      </c>
      <c r="J365" s="184">
        <f t="shared" si="82"/>
        <v>0</v>
      </c>
      <c r="K365" s="152" t="s">
        <v>294</v>
      </c>
    </row>
    <row r="366" spans="1:11" s="189" customFormat="1" ht="15.75">
      <c r="A366" s="218" t="s">
        <v>249</v>
      </c>
      <c r="B366" s="280"/>
      <c r="C366" s="215">
        <v>1</v>
      </c>
      <c r="D366" s="215">
        <v>20</v>
      </c>
      <c r="E366" s="309">
        <v>1772.32</v>
      </c>
      <c r="F366" s="183">
        <f ca="1" t="shared" si="75"/>
        <v>1772.32</v>
      </c>
      <c r="G366" s="184">
        <f t="shared" si="80"/>
        <v>0</v>
      </c>
      <c r="H366" s="184">
        <f t="shared" si="83"/>
        <v>0</v>
      </c>
      <c r="I366" s="185">
        <f t="shared" si="81"/>
        <v>0</v>
      </c>
      <c r="J366" s="184">
        <f t="shared" si="82"/>
        <v>0</v>
      </c>
      <c r="K366" s="152" t="s">
        <v>294</v>
      </c>
    </row>
    <row r="367" spans="1:11" s="189" customFormat="1" ht="15.75">
      <c r="A367" s="218" t="s">
        <v>261</v>
      </c>
      <c r="B367" s="280"/>
      <c r="C367" s="215">
        <v>1</v>
      </c>
      <c r="D367" s="215">
        <v>20</v>
      </c>
      <c r="E367" s="216">
        <v>1772.32</v>
      </c>
      <c r="F367" s="183">
        <f ca="1" t="shared" si="75"/>
        <v>1772.32</v>
      </c>
      <c r="G367" s="184">
        <f t="shared" si="80"/>
        <v>0</v>
      </c>
      <c r="H367" s="184">
        <f t="shared" si="83"/>
        <v>0</v>
      </c>
      <c r="I367" s="185">
        <f t="shared" si="81"/>
        <v>0</v>
      </c>
      <c r="J367" s="184">
        <f t="shared" si="82"/>
        <v>0</v>
      </c>
      <c r="K367" s="152" t="s">
        <v>294</v>
      </c>
    </row>
    <row r="368" spans="1:11" s="189" customFormat="1" ht="15.75">
      <c r="A368" s="218" t="s">
        <v>230</v>
      </c>
      <c r="B368" s="280"/>
      <c r="C368" s="215">
        <v>1</v>
      </c>
      <c r="D368" s="215">
        <v>20</v>
      </c>
      <c r="E368" s="216">
        <v>1007</v>
      </c>
      <c r="F368" s="183">
        <f ca="1" t="shared" si="75"/>
        <v>1007</v>
      </c>
      <c r="G368" s="184">
        <f t="shared" si="80"/>
        <v>0</v>
      </c>
      <c r="H368" s="184">
        <f t="shared" si="83"/>
        <v>0</v>
      </c>
      <c r="I368" s="185">
        <f t="shared" si="81"/>
        <v>0</v>
      </c>
      <c r="J368" s="184">
        <f t="shared" si="82"/>
        <v>0</v>
      </c>
      <c r="K368" s="152" t="s">
        <v>294</v>
      </c>
    </row>
    <row r="369" spans="1:11" s="189" customFormat="1" ht="15.75">
      <c r="A369" s="218" t="s">
        <v>231</v>
      </c>
      <c r="B369" s="280"/>
      <c r="C369" s="215">
        <v>1</v>
      </c>
      <c r="D369" s="215">
        <v>20</v>
      </c>
      <c r="E369" s="216">
        <v>1007</v>
      </c>
      <c r="F369" s="183">
        <f ca="1" t="shared" si="75"/>
        <v>1007</v>
      </c>
      <c r="G369" s="184">
        <f t="shared" si="80"/>
        <v>0</v>
      </c>
      <c r="H369" s="184">
        <f t="shared" si="83"/>
        <v>0</v>
      </c>
      <c r="I369" s="185">
        <f t="shared" si="81"/>
        <v>0</v>
      </c>
      <c r="J369" s="184">
        <f t="shared" si="82"/>
        <v>0</v>
      </c>
      <c r="K369" s="152" t="s">
        <v>294</v>
      </c>
    </row>
    <row r="370" spans="1:11" s="168" customFormat="1" ht="20.25">
      <c r="A370" s="223" t="s">
        <v>278</v>
      </c>
      <c r="B370" s="282"/>
      <c r="C370" s="223"/>
      <c r="D370" s="223"/>
      <c r="E370" s="224"/>
      <c r="F370" s="225">
        <f ca="1" t="shared" si="75"/>
        <v>0</v>
      </c>
      <c r="G370" s="226"/>
      <c r="H370" s="226"/>
      <c r="I370" s="226"/>
      <c r="J370" s="226"/>
      <c r="K370" s="152" t="s">
        <v>296</v>
      </c>
    </row>
    <row r="371" spans="1:11" s="189" customFormat="1" ht="15.75">
      <c r="A371" s="187" t="s">
        <v>132</v>
      </c>
      <c r="B371" s="276"/>
      <c r="C371" s="182">
        <v>12</v>
      </c>
      <c r="D371" s="182">
        <v>0.5</v>
      </c>
      <c r="E371" s="188">
        <v>116.6</v>
      </c>
      <c r="F371" s="183">
        <f ca="1" t="shared" si="75"/>
        <v>116.6</v>
      </c>
      <c r="G371" s="184">
        <f aca="true" t="shared" si="84" ref="G371:G384">B371*C371</f>
        <v>0</v>
      </c>
      <c r="H371" s="184">
        <f>10.5*B371</f>
        <v>0</v>
      </c>
      <c r="I371" s="185">
        <f aca="true" t="shared" si="85" ref="I371:I384">G371*F371</f>
        <v>0</v>
      </c>
      <c r="J371" s="184">
        <f aca="true" t="shared" si="86" ref="J371:J384">(G371*D371)/10</f>
        <v>0</v>
      </c>
      <c r="K371" s="152" t="s">
        <v>296</v>
      </c>
    </row>
    <row r="372" spans="1:11" s="189" customFormat="1" ht="15.75">
      <c r="A372" s="196" t="s">
        <v>144</v>
      </c>
      <c r="B372" s="285"/>
      <c r="C372" s="215">
        <v>12</v>
      </c>
      <c r="D372" s="197">
        <v>1</v>
      </c>
      <c r="E372" s="198">
        <v>287.23</v>
      </c>
      <c r="F372" s="183">
        <f ca="1" t="shared" si="75"/>
        <v>287.23</v>
      </c>
      <c r="G372" s="184">
        <f t="shared" si="84"/>
        <v>0</v>
      </c>
      <c r="H372" s="184">
        <f>19.08*B372</f>
        <v>0</v>
      </c>
      <c r="I372" s="185">
        <f t="shared" si="85"/>
        <v>0</v>
      </c>
      <c r="J372" s="184">
        <f t="shared" si="86"/>
        <v>0</v>
      </c>
      <c r="K372" s="152" t="s">
        <v>296</v>
      </c>
    </row>
    <row r="373" spans="1:11" s="189" customFormat="1" ht="15.75">
      <c r="A373" s="196" t="s">
        <v>144</v>
      </c>
      <c r="B373" s="285"/>
      <c r="C373" s="215">
        <v>12</v>
      </c>
      <c r="D373" s="197">
        <v>0.75</v>
      </c>
      <c r="E373" s="198">
        <v>214.12</v>
      </c>
      <c r="F373" s="183">
        <f ca="1" t="shared" si="75"/>
        <v>214.12</v>
      </c>
      <c r="G373" s="184">
        <f t="shared" si="84"/>
        <v>0</v>
      </c>
      <c r="H373" s="184">
        <f>14.74*B373</f>
        <v>0</v>
      </c>
      <c r="I373" s="185">
        <f t="shared" si="85"/>
        <v>0</v>
      </c>
      <c r="J373" s="184">
        <f t="shared" si="86"/>
        <v>0</v>
      </c>
      <c r="K373" s="152" t="s">
        <v>296</v>
      </c>
    </row>
    <row r="374" spans="1:11" s="189" customFormat="1" ht="15.75">
      <c r="A374" s="196" t="s">
        <v>145</v>
      </c>
      <c r="B374" s="285"/>
      <c r="C374" s="215">
        <v>12</v>
      </c>
      <c r="D374" s="197">
        <v>0.75</v>
      </c>
      <c r="E374" s="198">
        <v>245.92</v>
      </c>
      <c r="F374" s="183">
        <f ca="1" t="shared" si="75"/>
        <v>245.92</v>
      </c>
      <c r="G374" s="184">
        <f t="shared" si="84"/>
        <v>0</v>
      </c>
      <c r="H374" s="184">
        <f>14.74*B374</f>
        <v>0</v>
      </c>
      <c r="I374" s="185">
        <f t="shared" si="85"/>
        <v>0</v>
      </c>
      <c r="J374" s="184">
        <f t="shared" si="86"/>
        <v>0</v>
      </c>
      <c r="K374" s="152" t="s">
        <v>296</v>
      </c>
    </row>
    <row r="375" spans="1:11" s="189" customFormat="1" ht="15.75">
      <c r="A375" s="196" t="s">
        <v>144</v>
      </c>
      <c r="B375" s="280"/>
      <c r="C375" s="215">
        <v>20</v>
      </c>
      <c r="D375" s="197">
        <v>0.5</v>
      </c>
      <c r="E375" s="198">
        <v>146.28</v>
      </c>
      <c r="F375" s="183">
        <f ca="1" t="shared" si="75"/>
        <v>146.28</v>
      </c>
      <c r="G375" s="184">
        <f t="shared" si="84"/>
        <v>0</v>
      </c>
      <c r="H375" s="184">
        <f>17.17*B375</f>
        <v>0</v>
      </c>
      <c r="I375" s="185">
        <f t="shared" si="85"/>
        <v>0</v>
      </c>
      <c r="J375" s="184">
        <f t="shared" si="86"/>
        <v>0</v>
      </c>
      <c r="K375" s="152" t="s">
        <v>296</v>
      </c>
    </row>
    <row r="376" spans="1:11" s="189" customFormat="1" ht="15.75">
      <c r="A376" s="196" t="s">
        <v>144</v>
      </c>
      <c r="B376" s="280"/>
      <c r="C376" s="215">
        <v>24</v>
      </c>
      <c r="D376" s="197">
        <v>0.375</v>
      </c>
      <c r="E376" s="198">
        <v>119.78</v>
      </c>
      <c r="F376" s="183">
        <f ca="1" t="shared" si="75"/>
        <v>119.78</v>
      </c>
      <c r="G376" s="184">
        <f t="shared" si="84"/>
        <v>0</v>
      </c>
      <c r="H376" s="184">
        <f>15.98*B376</f>
        <v>0</v>
      </c>
      <c r="I376" s="185">
        <f t="shared" si="85"/>
        <v>0</v>
      </c>
      <c r="J376" s="184">
        <f t="shared" si="86"/>
        <v>0</v>
      </c>
      <c r="K376" s="152" t="s">
        <v>296</v>
      </c>
    </row>
    <row r="377" spans="1:11" s="189" customFormat="1" ht="15.75">
      <c r="A377" s="196" t="s">
        <v>146</v>
      </c>
      <c r="B377" s="280"/>
      <c r="C377" s="215">
        <v>12</v>
      </c>
      <c r="D377" s="197">
        <v>0.75</v>
      </c>
      <c r="E377" s="198">
        <v>386.9</v>
      </c>
      <c r="F377" s="183">
        <f ca="1" t="shared" si="75"/>
        <v>386.9</v>
      </c>
      <c r="G377" s="184">
        <f t="shared" si="84"/>
        <v>0</v>
      </c>
      <c r="H377" s="184">
        <f>14.74*B377</f>
        <v>0</v>
      </c>
      <c r="I377" s="185">
        <f t="shared" si="85"/>
        <v>0</v>
      </c>
      <c r="J377" s="184">
        <f t="shared" si="86"/>
        <v>0</v>
      </c>
      <c r="K377" s="152" t="s">
        <v>296</v>
      </c>
    </row>
    <row r="378" spans="1:11" s="189" customFormat="1" ht="15.75">
      <c r="A378" s="196" t="s">
        <v>147</v>
      </c>
      <c r="B378" s="280"/>
      <c r="C378" s="215">
        <v>12</v>
      </c>
      <c r="D378" s="197">
        <v>1</v>
      </c>
      <c r="E378" s="198">
        <v>249.1</v>
      </c>
      <c r="F378" s="183">
        <f ca="1" t="shared" si="75"/>
        <v>249.1</v>
      </c>
      <c r="G378" s="184">
        <f t="shared" si="84"/>
        <v>0</v>
      </c>
      <c r="H378" s="184">
        <f>19.08*B378</f>
        <v>0</v>
      </c>
      <c r="I378" s="185">
        <f t="shared" si="85"/>
        <v>0</v>
      </c>
      <c r="J378" s="184">
        <f t="shared" si="86"/>
        <v>0</v>
      </c>
      <c r="K378" s="152" t="s">
        <v>296</v>
      </c>
    </row>
    <row r="379" spans="1:11" s="189" customFormat="1" ht="15.75">
      <c r="A379" s="196" t="s">
        <v>147</v>
      </c>
      <c r="B379" s="280"/>
      <c r="C379" s="215">
        <v>12</v>
      </c>
      <c r="D379" s="197">
        <v>0.75</v>
      </c>
      <c r="E379" s="198">
        <v>190.8</v>
      </c>
      <c r="F379" s="183">
        <f ca="1" t="shared" si="75"/>
        <v>190.8</v>
      </c>
      <c r="G379" s="184">
        <f t="shared" si="84"/>
        <v>0</v>
      </c>
      <c r="H379" s="184">
        <f>14.74*B379</f>
        <v>0</v>
      </c>
      <c r="I379" s="185">
        <f t="shared" si="85"/>
        <v>0</v>
      </c>
      <c r="J379" s="184">
        <f t="shared" si="86"/>
        <v>0</v>
      </c>
      <c r="K379" s="152" t="s">
        <v>296</v>
      </c>
    </row>
    <row r="380" spans="1:11" s="189" customFormat="1" ht="15.75">
      <c r="A380" s="196" t="s">
        <v>148</v>
      </c>
      <c r="B380" s="280"/>
      <c r="C380" s="215">
        <v>12</v>
      </c>
      <c r="D380" s="197">
        <v>0.75</v>
      </c>
      <c r="E380" s="198">
        <v>217.3</v>
      </c>
      <c r="F380" s="183">
        <f ca="1" t="shared" si="75"/>
        <v>217.3</v>
      </c>
      <c r="G380" s="184">
        <f t="shared" si="84"/>
        <v>0</v>
      </c>
      <c r="H380" s="184">
        <f>14.74*B380</f>
        <v>0</v>
      </c>
      <c r="I380" s="185">
        <f t="shared" si="85"/>
        <v>0</v>
      </c>
      <c r="J380" s="184">
        <f t="shared" si="86"/>
        <v>0</v>
      </c>
      <c r="K380" s="152" t="s">
        <v>296</v>
      </c>
    </row>
    <row r="381" spans="1:11" s="189" customFormat="1" ht="15.75">
      <c r="A381" s="196" t="s">
        <v>149</v>
      </c>
      <c r="B381" s="280"/>
      <c r="C381" s="215">
        <v>1</v>
      </c>
      <c r="D381" s="197">
        <v>0.75</v>
      </c>
      <c r="E381" s="198">
        <v>535.3</v>
      </c>
      <c r="F381" s="183">
        <f ca="1" t="shared" si="75"/>
        <v>535.3</v>
      </c>
      <c r="G381" s="184">
        <f t="shared" si="84"/>
        <v>0</v>
      </c>
      <c r="H381" s="184">
        <f>14.74*B381</f>
        <v>0</v>
      </c>
      <c r="I381" s="185">
        <f t="shared" si="85"/>
        <v>0</v>
      </c>
      <c r="J381" s="184">
        <f t="shared" si="86"/>
        <v>0</v>
      </c>
      <c r="K381" s="152" t="s">
        <v>296</v>
      </c>
    </row>
    <row r="382" spans="1:11" s="189" customFormat="1" ht="15.75">
      <c r="A382" s="196" t="s">
        <v>150</v>
      </c>
      <c r="B382" s="280"/>
      <c r="C382" s="215">
        <v>4</v>
      </c>
      <c r="D382" s="197">
        <v>0.5</v>
      </c>
      <c r="E382" s="198">
        <v>467.46</v>
      </c>
      <c r="F382" s="183">
        <f ca="1" t="shared" si="75"/>
        <v>467.46</v>
      </c>
      <c r="G382" s="184">
        <f t="shared" si="84"/>
        <v>0</v>
      </c>
      <c r="H382" s="184">
        <f>3.44*B382</f>
        <v>0</v>
      </c>
      <c r="I382" s="185">
        <f t="shared" si="85"/>
        <v>0</v>
      </c>
      <c r="J382" s="184">
        <f t="shared" si="86"/>
        <v>0</v>
      </c>
      <c r="K382" s="152" t="s">
        <v>296</v>
      </c>
    </row>
    <row r="383" spans="1:11" s="189" customFormat="1" ht="15.75">
      <c r="A383" s="196" t="s">
        <v>147</v>
      </c>
      <c r="B383" s="280"/>
      <c r="C383" s="215">
        <v>20</v>
      </c>
      <c r="D383" s="197">
        <v>0.5</v>
      </c>
      <c r="E383" s="198">
        <v>127.2</v>
      </c>
      <c r="F383" s="183">
        <f ca="1" t="shared" si="75"/>
        <v>127.2</v>
      </c>
      <c r="G383" s="184">
        <f t="shared" si="84"/>
        <v>0</v>
      </c>
      <c r="H383" s="184">
        <f>17.17*B383</f>
        <v>0</v>
      </c>
      <c r="I383" s="185">
        <f t="shared" si="85"/>
        <v>0</v>
      </c>
      <c r="J383" s="184">
        <f t="shared" si="86"/>
        <v>0</v>
      </c>
      <c r="K383" s="152" t="s">
        <v>296</v>
      </c>
    </row>
    <row r="384" spans="1:11" s="189" customFormat="1" ht="15.75">
      <c r="A384" s="196" t="s">
        <v>151</v>
      </c>
      <c r="B384" s="280"/>
      <c r="C384" s="215">
        <v>18</v>
      </c>
      <c r="D384" s="197">
        <v>0.5</v>
      </c>
      <c r="E384" s="198">
        <v>127.2</v>
      </c>
      <c r="F384" s="183">
        <f ca="1" t="shared" si="75"/>
        <v>127.2</v>
      </c>
      <c r="G384" s="184">
        <f t="shared" si="84"/>
        <v>0</v>
      </c>
      <c r="H384" s="184">
        <f>17.95*B384</f>
        <v>0</v>
      </c>
      <c r="I384" s="185">
        <f t="shared" si="85"/>
        <v>0</v>
      </c>
      <c r="J384" s="184">
        <f t="shared" si="86"/>
        <v>0</v>
      </c>
      <c r="K384" s="152" t="s">
        <v>296</v>
      </c>
    </row>
    <row r="385" spans="1:11" s="189" customFormat="1" ht="15.75">
      <c r="A385" s="222" t="s">
        <v>199</v>
      </c>
      <c r="B385" s="282"/>
      <c r="C385" s="182"/>
      <c r="D385" s="182"/>
      <c r="E385" s="188"/>
      <c r="F385" s="183">
        <f ca="1" t="shared" si="75"/>
        <v>0</v>
      </c>
      <c r="G385" s="184"/>
      <c r="H385" s="184"/>
      <c r="I385" s="185"/>
      <c r="J385" s="184"/>
      <c r="K385" s="152" t="s">
        <v>296</v>
      </c>
    </row>
    <row r="386" spans="1:11" s="189" customFormat="1" ht="16.5" thickBot="1">
      <c r="A386" s="219" t="s">
        <v>200</v>
      </c>
      <c r="B386" s="289"/>
      <c r="C386" s="241">
        <v>6</v>
      </c>
      <c r="D386" s="242">
        <v>0.75</v>
      </c>
      <c r="E386" s="243">
        <v>84</v>
      </c>
      <c r="F386" s="244">
        <f ca="1" t="shared" si="75"/>
        <v>84</v>
      </c>
      <c r="G386" s="245">
        <f>B386*C386</f>
        <v>0</v>
      </c>
      <c r="H386" s="245">
        <f>10.2*B386</f>
        <v>0</v>
      </c>
      <c r="I386" s="246">
        <f>G386*F386</f>
        <v>0</v>
      </c>
      <c r="J386" s="245">
        <f>(G386*D386)/10</f>
        <v>0</v>
      </c>
      <c r="K386" s="152" t="s">
        <v>297</v>
      </c>
    </row>
    <row r="387" spans="1:11" s="254" customFormat="1" ht="16.5" customHeight="1" thickBot="1">
      <c r="A387" s="247"/>
      <c r="B387" s="248">
        <f>SUM(B18:B386)</f>
        <v>0</v>
      </c>
      <c r="C387" s="249"/>
      <c r="D387" s="249"/>
      <c r="E387" s="249"/>
      <c r="F387" s="250"/>
      <c r="G387" s="251">
        <f>SUM(G18:G386)</f>
        <v>0</v>
      </c>
      <c r="H387" s="251">
        <f>SUM(H18:H386)</f>
        <v>0</v>
      </c>
      <c r="I387" s="251">
        <f>SUM(I18:I386)</f>
        <v>0</v>
      </c>
      <c r="J387" s="252">
        <f>SUM(J18:J386)</f>
        <v>0</v>
      </c>
      <c r="K387" s="253"/>
    </row>
    <row r="388" spans="1:11" s="260" customFormat="1" ht="63.75" thickBot="1">
      <c r="A388" s="363" t="s">
        <v>301</v>
      </c>
      <c r="B388" s="255" t="s">
        <v>298</v>
      </c>
      <c r="C388" s="368" t="s">
        <v>94</v>
      </c>
      <c r="D388" s="369"/>
      <c r="E388" s="256" t="s">
        <v>201</v>
      </c>
      <c r="F388" s="255" t="s">
        <v>299</v>
      </c>
      <c r="G388" s="372" t="s">
        <v>303</v>
      </c>
      <c r="H388" s="373"/>
      <c r="I388" s="257" t="s">
        <v>99</v>
      </c>
      <c r="J388" s="258" t="s">
        <v>65</v>
      </c>
      <c r="K388" s="259"/>
    </row>
    <row r="389" spans="1:11" s="266" customFormat="1" ht="25.5" customHeight="1" thickBot="1">
      <c r="A389" s="364"/>
      <c r="B389" s="261">
        <f>B387</f>
        <v>0</v>
      </c>
      <c r="C389" s="370">
        <f>SUMPRODUCT(B19:B386,C19:C386)</f>
        <v>0</v>
      </c>
      <c r="D389" s="371"/>
      <c r="E389" s="262">
        <f>SUMPRODUCT(B19:B386,C19:C386,E19:E386)</f>
        <v>0</v>
      </c>
      <c r="F389" s="262">
        <f>I387</f>
        <v>0</v>
      </c>
      <c r="G389" s="366">
        <f>E389-F389</f>
        <v>0</v>
      </c>
      <c r="H389" s="367"/>
      <c r="I389" s="263"/>
      <c r="J389" s="264">
        <f>J387</f>
        <v>0</v>
      </c>
      <c r="K389" s="265"/>
    </row>
    <row r="390" spans="1:11" s="260" customFormat="1" ht="31.5" customHeight="1" thickBot="1">
      <c r="A390" s="267" t="s">
        <v>302</v>
      </c>
      <c r="B390" s="331" t="s">
        <v>186</v>
      </c>
      <c r="C390" s="332"/>
      <c r="D390" s="331" t="s">
        <v>190</v>
      </c>
      <c r="E390" s="332"/>
      <c r="F390" s="331" t="s">
        <v>305</v>
      </c>
      <c r="G390" s="332"/>
      <c r="H390" s="331" t="s">
        <v>192</v>
      </c>
      <c r="I390" s="332"/>
      <c r="J390" s="256" t="s">
        <v>306</v>
      </c>
      <c r="K390" s="259"/>
    </row>
    <row r="391" spans="1:11" s="254" customFormat="1" ht="16.5" thickBot="1">
      <c r="A391" s="268" t="s">
        <v>300</v>
      </c>
      <c r="B391" s="328">
        <f>SUMIF($K:$K,B390,$J:$J)</f>
        <v>0</v>
      </c>
      <c r="C391" s="329"/>
      <c r="D391" s="330">
        <f>SUMIF($K:$K,D390,$J:$J)</f>
        <v>0</v>
      </c>
      <c r="E391" s="329"/>
      <c r="F391" s="330">
        <f>SUMIF($K:$K,F390,$J:$J)</f>
        <v>0</v>
      </c>
      <c r="G391" s="329"/>
      <c r="H391" s="330">
        <f>SUMIF($K:$K,H390,$J:$J)</f>
        <v>0</v>
      </c>
      <c r="I391" s="329"/>
      <c r="J391" s="269">
        <f>SUM(B391:I391)</f>
        <v>0</v>
      </c>
      <c r="K391" s="253"/>
    </row>
    <row r="393" spans="1:6" ht="18">
      <c r="A393" s="270"/>
      <c r="E393" s="304"/>
      <c r="F393" s="305" t="s">
        <v>346</v>
      </c>
    </row>
    <row r="394" spans="1:6" ht="18">
      <c r="A394" s="271"/>
      <c r="E394" s="304"/>
      <c r="F394" s="305" t="s">
        <v>347</v>
      </c>
    </row>
    <row r="395" ht="18">
      <c r="A395" s="271"/>
    </row>
    <row r="396" ht="18">
      <c r="A396" s="271"/>
    </row>
    <row r="397" ht="18">
      <c r="A397" s="271"/>
    </row>
    <row r="398" ht="18">
      <c r="A398" s="271"/>
    </row>
    <row r="399" ht="18">
      <c r="A399" s="271"/>
    </row>
    <row r="400" ht="18">
      <c r="A400" s="271"/>
    </row>
    <row r="401" ht="18">
      <c r="A401" s="271"/>
    </row>
    <row r="402" ht="18">
      <c r="A402" s="271"/>
    </row>
    <row r="403" ht="18">
      <c r="A403" s="271"/>
    </row>
    <row r="404" ht="18">
      <c r="A404" s="271"/>
    </row>
    <row r="405" ht="18">
      <c r="A405" s="271"/>
    </row>
    <row r="406" ht="18">
      <c r="A406" s="271"/>
    </row>
    <row r="407" ht="18">
      <c r="A407" s="270"/>
    </row>
  </sheetData>
  <sheetProtection selectLockedCells="1"/>
  <mergeCells count="35">
    <mergeCell ref="A388:A389"/>
    <mergeCell ref="D15:D17"/>
    <mergeCell ref="G389:H389"/>
    <mergeCell ref="C388:D388"/>
    <mergeCell ref="C389:D389"/>
    <mergeCell ref="G388:H388"/>
    <mergeCell ref="A15:A17"/>
    <mergeCell ref="B15:B17"/>
    <mergeCell ref="C15:C17"/>
    <mergeCell ref="G10:I10"/>
    <mergeCell ref="G11:I11"/>
    <mergeCell ref="A1:J5"/>
    <mergeCell ref="B8:J8"/>
    <mergeCell ref="H15:H17"/>
    <mergeCell ref="I15:I17"/>
    <mergeCell ref="E15:E17"/>
    <mergeCell ref="B7:C7"/>
    <mergeCell ref="F7:G7"/>
    <mergeCell ref="B9:E9"/>
    <mergeCell ref="B10:E10"/>
    <mergeCell ref="B11:E11"/>
    <mergeCell ref="G9:I9"/>
    <mergeCell ref="J15:J17"/>
    <mergeCell ref="F15:F17"/>
    <mergeCell ref="G15:G17"/>
    <mergeCell ref="B12:E13"/>
    <mergeCell ref="G12:I12"/>
    <mergeCell ref="B391:C391"/>
    <mergeCell ref="D391:E391"/>
    <mergeCell ref="F391:G391"/>
    <mergeCell ref="H391:I391"/>
    <mergeCell ref="B390:C390"/>
    <mergeCell ref="D390:E390"/>
    <mergeCell ref="F390:G390"/>
    <mergeCell ref="H390:I390"/>
  </mergeCells>
  <printOptions horizontalCentered="1"/>
  <pageMargins left="0.4724409448818898" right="0.1968503937007874" top="0.2362204724409449" bottom="0.2362204724409449" header="0.2362204724409449" footer="0.2755905511811024"/>
  <pageSetup fitToHeight="6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Межреспубликанский винзавод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от 29.09.08</dc:title>
  <dc:subject/>
  <dc:creator>Андриянов Сергей</dc:creator>
  <cp:keywords/>
  <dc:description/>
  <cp:lastModifiedBy>godes</cp:lastModifiedBy>
  <cp:lastPrinted>2009-03-06T09:29:03Z</cp:lastPrinted>
  <dcterms:created xsi:type="dcterms:W3CDTF">2000-06-14T07:38:14Z</dcterms:created>
  <dcterms:modified xsi:type="dcterms:W3CDTF">2009-03-17T08:18:57Z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